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50" windowHeight="11715" tabRatio="601"/>
  </bookViews>
  <sheets>
    <sheet name="Приложение 1" sheetId="7" r:id="rId1"/>
    <sheet name="Лист1" sheetId="8" r:id="rId2"/>
  </sheets>
  <definedNames>
    <definedName name="_xlnm.Print_Titles" localSheetId="0">'Приложение 1'!$27:$27</definedName>
    <definedName name="_xlnm.Print_Area" localSheetId="0">'Приложение 1'!$A$1:$AL$159</definedName>
  </definedNames>
  <calcPr calcId="152511"/>
</workbook>
</file>

<file path=xl/calcChain.xml><?xml version="1.0" encoding="utf-8"?>
<calcChain xmlns="http://schemas.openxmlformats.org/spreadsheetml/2006/main">
  <c r="AN100" i="7" l="1"/>
  <c r="AP101" i="7"/>
  <c r="AK84" i="7" l="1"/>
  <c r="AJ67" i="7" l="1"/>
  <c r="AI67" i="7"/>
  <c r="AH67" i="7"/>
  <c r="AG41" i="7" l="1"/>
  <c r="AK48" i="7" l="1"/>
  <c r="AK44" i="7"/>
  <c r="AK43" i="7"/>
  <c r="AK42" i="7"/>
  <c r="AK41" i="7"/>
  <c r="AK40" i="7"/>
  <c r="AN102" i="7" l="1"/>
  <c r="AN101" i="7"/>
  <c r="AN76" i="7"/>
  <c r="AN77" i="7"/>
  <c r="AG97" i="7" l="1"/>
  <c r="AK102" i="7"/>
  <c r="AG54" i="7"/>
  <c r="AG88" i="7"/>
  <c r="AG59" i="7"/>
  <c r="AK85" i="7" l="1"/>
  <c r="AI88" i="7" l="1"/>
  <c r="AJ88" i="7"/>
  <c r="AJ54" i="7"/>
  <c r="AH88" i="7"/>
  <c r="AJ97" i="7"/>
  <c r="AJ96" i="7" s="1"/>
  <c r="AI97" i="7"/>
  <c r="AJ90" i="7"/>
  <c r="AI90" i="7"/>
  <c r="AH97" i="7"/>
  <c r="AK95" i="7"/>
  <c r="AK94" i="7" l="1"/>
  <c r="AK79" i="7"/>
  <c r="AK62" i="7"/>
  <c r="AK59" i="7"/>
  <c r="AG67" i="7" l="1"/>
  <c r="AK67" i="7" l="1"/>
  <c r="AK100" i="7"/>
  <c r="AK99" i="7"/>
  <c r="AK98" i="7"/>
  <c r="AJ98" i="7"/>
  <c r="AJ99" i="7"/>
  <c r="AJ100" i="7"/>
  <c r="AK108" i="7"/>
  <c r="AK107" i="7"/>
  <c r="AK106" i="7"/>
  <c r="AJ108" i="7"/>
  <c r="AN108" i="7"/>
  <c r="AJ107" i="7"/>
  <c r="AN107" i="7"/>
  <c r="AJ106" i="7" l="1"/>
  <c r="AN106" i="7"/>
  <c r="AK92" i="7"/>
  <c r="AK51" i="7"/>
  <c r="AK33" i="7"/>
  <c r="AK32" i="7"/>
  <c r="AK31" i="7"/>
  <c r="AJ34" i="7"/>
  <c r="AK60" i="7"/>
  <c r="AJ56" i="7"/>
  <c r="AN56" i="7"/>
  <c r="AJ55" i="7"/>
  <c r="AN55" i="7"/>
  <c r="AK81" i="7"/>
  <c r="AK104" i="7"/>
  <c r="AK103" i="7"/>
  <c r="AK123" i="7"/>
  <c r="AK101" i="7"/>
  <c r="AJ66" i="7"/>
  <c r="AK90" i="7"/>
  <c r="AK80" i="7"/>
  <c r="AK71" i="7"/>
  <c r="AK69" i="7"/>
  <c r="AJ35" i="7"/>
  <c r="AK45" i="7"/>
  <c r="AJ28" i="7" l="1"/>
  <c r="AG92" i="7"/>
  <c r="AG79" i="7" l="1"/>
  <c r="AK76" i="7" l="1"/>
  <c r="AK75" i="7"/>
  <c r="AK77" i="7" l="1"/>
  <c r="AF59" i="7" l="1"/>
  <c r="AF88" i="7" l="1"/>
  <c r="K9" i="8" l="1"/>
  <c r="G9" i="8"/>
  <c r="F9" i="8"/>
  <c r="E9" i="8"/>
  <c r="I9" i="8" s="1"/>
  <c r="O8" i="8"/>
  <c r="P8" i="8" s="1"/>
  <c r="K8" i="8"/>
  <c r="L8" i="8" s="1"/>
  <c r="I8" i="8"/>
  <c r="L9" i="8" l="1"/>
  <c r="AF97" i="7"/>
  <c r="AE70" i="7" l="1"/>
  <c r="AF54" i="7" l="1"/>
  <c r="AF48" i="7"/>
  <c r="AF45" i="7"/>
  <c r="AK63" i="7" l="1"/>
  <c r="AI54" i="7"/>
  <c r="AH54" i="7"/>
  <c r="AK54" i="7" s="1"/>
  <c r="AD54" i="7"/>
  <c r="AF96" i="7" l="1"/>
  <c r="AK97" i="7"/>
  <c r="AH35" i="7"/>
  <c r="AG35" i="7"/>
  <c r="AF35" i="7"/>
  <c r="AK53" i="7"/>
  <c r="AK52" i="7"/>
  <c r="AK88" i="7" l="1"/>
  <c r="AE48" i="7"/>
  <c r="AE74" i="7" l="1"/>
  <c r="AE73" i="7"/>
  <c r="AE67" i="7" l="1"/>
  <c r="AK70" i="7"/>
  <c r="AF73" i="7" l="1"/>
  <c r="AF67" i="7" s="1"/>
  <c r="AE45" i="7" l="1"/>
  <c r="AE35" i="7"/>
  <c r="AK72" i="7" l="1"/>
  <c r="AD43" i="7" l="1"/>
  <c r="AD102" i="7" l="1"/>
  <c r="AD101" i="7"/>
  <c r="AD103" i="7"/>
  <c r="AD74" i="7"/>
  <c r="AK74" i="7" s="1"/>
  <c r="AE88" i="7" l="1"/>
  <c r="AE66" i="7" s="1"/>
  <c r="AD73" i="7" l="1"/>
  <c r="AD71" i="7"/>
  <c r="AK73" i="7" l="1"/>
  <c r="AD67" i="7"/>
  <c r="AD97" i="7"/>
  <c r="AD48" i="7"/>
  <c r="AD45" i="7"/>
  <c r="AD40" i="7"/>
  <c r="AD35" i="7" l="1"/>
  <c r="AD34" i="7" s="1"/>
  <c r="AI109" i="7"/>
  <c r="AH109" i="7"/>
  <c r="AG109" i="7"/>
  <c r="AK110" i="7"/>
  <c r="AI110" i="7"/>
  <c r="AH110" i="7"/>
  <c r="AG110" i="7"/>
  <c r="AF110" i="7"/>
  <c r="AE110" i="7"/>
  <c r="AD110" i="7"/>
  <c r="AK109" i="7" l="1"/>
  <c r="AK111" i="7"/>
  <c r="AE58" i="7" l="1"/>
  <c r="AF58" i="7" s="1"/>
  <c r="AE64" i="7"/>
  <c r="AK65" i="7"/>
  <c r="AD96" i="7"/>
  <c r="AE100" i="7"/>
  <c r="AF100" i="7" s="1"/>
  <c r="AG100" i="7" s="1"/>
  <c r="AH100" i="7" s="1"/>
  <c r="AI100" i="7" s="1"/>
  <c r="AE99" i="7"/>
  <c r="AF99" i="7" s="1"/>
  <c r="AG99" i="7" s="1"/>
  <c r="AH99" i="7" s="1"/>
  <c r="AI99" i="7" s="1"/>
  <c r="AE98" i="7"/>
  <c r="AF98" i="7" s="1"/>
  <c r="AG98" i="7" s="1"/>
  <c r="AH98" i="7" s="1"/>
  <c r="AI98" i="7" s="1"/>
  <c r="AE107" i="7"/>
  <c r="AF107" i="7" s="1"/>
  <c r="AG107" i="7" s="1"/>
  <c r="AH107" i="7" s="1"/>
  <c r="AI107" i="7" s="1"/>
  <c r="AE108" i="7"/>
  <c r="AF108" i="7" s="1"/>
  <c r="AG108" i="7" s="1"/>
  <c r="AH108" i="7" s="1"/>
  <c r="AI108" i="7" s="1"/>
  <c r="AE106" i="7"/>
  <c r="AF106" i="7" s="1"/>
  <c r="AG106" i="7" s="1"/>
  <c r="AH106" i="7" s="1"/>
  <c r="AI106" i="7" s="1"/>
  <c r="AD88" i="7"/>
  <c r="AD66" i="7" s="1"/>
  <c r="AI96" i="7" l="1"/>
  <c r="AF55" i="7"/>
  <c r="AE55" i="7"/>
  <c r="AG58" i="7"/>
  <c r="AH58" i="7" s="1"/>
  <c r="AG96" i="7"/>
  <c r="AH96" i="7"/>
  <c r="AE96" i="7"/>
  <c r="AK96" i="7" l="1"/>
  <c r="AI58" i="7"/>
  <c r="AK58" i="7" s="1"/>
  <c r="AG55" i="7"/>
  <c r="AI35" i="7"/>
  <c r="AK35" i="7" s="1"/>
  <c r="AI64" i="7" l="1"/>
  <c r="AI55" i="7" s="1"/>
  <c r="AK55" i="7" s="1"/>
  <c r="AH55" i="7"/>
  <c r="AF66" i="7"/>
  <c r="AE34" i="7" l="1"/>
  <c r="AF34" i="7"/>
  <c r="AG66" i="7"/>
  <c r="AF28" i="7" l="1"/>
  <c r="AG34" i="7"/>
  <c r="AH66" i="7"/>
  <c r="AG28" i="7" l="1"/>
  <c r="AG29" i="7"/>
  <c r="AI34" i="7"/>
  <c r="AE28" i="7"/>
  <c r="AD28" i="7"/>
  <c r="AI66" i="7" l="1"/>
  <c r="AK66" i="7" s="1"/>
  <c r="AH34" i="7"/>
  <c r="AK34" i="7" s="1"/>
  <c r="AH29" i="7" l="1"/>
  <c r="AI28" i="7"/>
  <c r="AH28" i="7"/>
  <c r="AK28" i="7" l="1"/>
</calcChain>
</file>

<file path=xl/sharedStrings.xml><?xml version="1.0" encoding="utf-8"?>
<sst xmlns="http://schemas.openxmlformats.org/spreadsheetml/2006/main" count="761" uniqueCount="203">
  <si>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</si>
  <si>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</si>
  <si>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</si>
  <si>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</si>
  <si>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</si>
  <si>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</si>
  <si>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</si>
  <si>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</si>
  <si>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</si>
  <si>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</si>
  <si>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</si>
  <si>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</si>
  <si>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</si>
  <si>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</si>
  <si>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</si>
  <si>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</si>
  <si>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</si>
  <si>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</si>
  <si>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</si>
  <si>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</si>
  <si>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</si>
  <si>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</si>
  <si>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</si>
  <si>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</si>
  <si>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</si>
  <si>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</si>
  <si>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</si>
  <si>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</si>
  <si>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</si>
  <si>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</si>
  <si>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</si>
  <si>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</si>
  <si>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</si>
  <si>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</si>
  <si>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</si>
  <si>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</si>
  <si>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</si>
  <si>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</si>
  <si>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</si>
  <si>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</si>
  <si>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</si>
  <si>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</si>
  <si>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</si>
  <si>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</si>
  <si>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</si>
  <si>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</si>
  <si>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</si>
  <si>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</si>
  <si>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</si>
  <si>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</si>
  <si>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</si>
  <si>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</si>
  <si>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</si>
  <si>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</si>
  <si>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</si>
  <si>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</si>
  <si>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</si>
  <si>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</si>
  <si>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</si>
  <si>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</si>
  <si>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</si>
  <si>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</si>
  <si>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</si>
  <si>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</si>
  <si>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</si>
  <si>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</si>
  <si>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</si>
  <si>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</si>
  <si>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</si>
  <si>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</si>
  <si>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</si>
  <si>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</si>
  <si>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</si>
  <si>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</si>
  <si>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</si>
  <si>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</si>
  <si>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</si>
  <si>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</si>
  <si>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</si>
  <si>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</si>
  <si>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</si>
  <si>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</si>
  <si>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</si>
  <si>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</si>
  <si>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</si>
  <si>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</si>
  <si>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</si>
  <si>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</si>
  <si>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</si>
  <si>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</si>
  <si>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</si>
  <si>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</si>
  <si>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</si>
  <si>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</si>
  <si>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</si>
  <si>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</si>
  <si>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</si>
  <si>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</si>
  <si>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</si>
  <si>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</si>
  <si>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</si>
  <si>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</si>
  <si>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</si>
  <si>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</si>
  <si>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</si>
  <si>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</si>
  <si>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</si>
  <si>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</si>
  <si>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</si>
  <si>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</si>
  <si>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</si>
  <si>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</si>
  <si>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</si>
  <si>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</si>
  <si>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</si>
  <si>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</si>
  <si>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</si>
  <si>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</si>
  <si>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</si>
  <si>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</si>
  <si>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</si>
  <si>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</si>
  <si>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</si>
  <si>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</si>
  <si>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</si>
  <si>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</si>
  <si>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</si>
  <si>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</si>
  <si>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</si>
  <si>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</si>
  <si>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</si>
  <si>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</si>
  <si>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</si>
  <si>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</si>
  <si>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</si>
  <si>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</si>
  <si>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</si>
  <si>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</si>
  <si>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</si>
  <si>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</si>
  <si>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</si>
  <si>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</si>
  <si>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</si>
  <si>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</si>
  <si>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</si>
  <si>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</si>
  <si>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</si>
  <si>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</si>
  <si>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</si>
  <si>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</si>
  <si>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</si>
  <si>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r>
      <t xml:space="preserve">Мероприятие 1.01  </t>
    </r>
    <r>
      <rPr>
        <sz val="10"/>
        <color theme="1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</si>
  <si>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</si>
  <si>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>06.1.0102</t>
  </si>
  <si>
    <r>
      <t>06.1.020</t>
    </r>
    <r>
      <rPr>
        <b/>
        <sz val="10"/>
        <rFont val="Times New Roman"/>
        <family val="1"/>
        <charset val="204"/>
      </rPr>
      <t>2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</si>
  <si>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разработанных смет для определения стоимости разработки поектно-сметной документации и изыскательной документаци»</t>
    </r>
  </si>
  <si>
    <r>
      <t>Мероприятие 1.03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детей.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</si>
  <si>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</si>
  <si>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</si>
  <si>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отремонтированных бесхозяйных сетей водоснабжения и водоотведения»</t>
    </r>
  </si>
  <si>
    <r>
      <t xml:space="preserve">Мероприятие 1.04 </t>
    </r>
    <r>
      <rPr>
        <sz val="10"/>
        <rFont val="Times New Roman"/>
        <family val="1"/>
        <charset val="204"/>
      </rPr>
      <t>«Содержание и обслуживание бесхозяйных обектов теплоснабжения, водоснабжения и водоотведения»</t>
    </r>
  </si>
  <si>
    <t xml:space="preserve">Наименование товаров, работ, услуг                                                       </t>
  </si>
  <si>
    <t>Ед. измерения</t>
  </si>
  <si>
    <t>Количество</t>
  </si>
  <si>
    <t xml:space="preserve">Коммерческие предложения (руб./ед.изм.) 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</si>
  <si>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</si>
  <si>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</si>
  <si>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 xml:space="preserve">Потенциальный исполнитель
 № 1 вх.от 27.10.2022 
№ 174 
</t>
  </si>
  <si>
    <t xml:space="preserve">Потенциальный исполнитель               № 2 вх.от 25.10.2022 
№ 813
</t>
  </si>
  <si>
    <t xml:space="preserve">Потенциальный исполнитель              № 3 вх.от 28.10.2022 
№ 298         
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</si>
  <si>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</si>
  <si>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</si>
  <si>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</t>
    </r>
    <r>
      <rPr>
        <i/>
        <sz val="10"/>
        <color indexed="8"/>
        <rFont val="Times New Roman"/>
        <family val="1"/>
        <charset val="204"/>
      </rPr>
      <t>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</si>
  <si>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</si>
  <si>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</si>
  <si>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единицу, принятая Заказчиком (руб.)</t>
  </si>
  <si>
    <t>Н(М)ЦК,  принятая Заказчиком (руб.)</t>
  </si>
  <si>
    <t>Выполнение работ по развитию муниципальной геоинформационной системы тепловых сетей муниципального образования город Тверь</t>
  </si>
  <si>
    <t>шт.</t>
  </si>
  <si>
    <t>Итого</t>
  </si>
  <si>
    <t>Подготовлено:</t>
  </si>
  <si>
    <t>Главным специалистом отдела коммунальной инфраструктуры департамента жилищно-коммунального хозяйства, жилищной политики и строительства администрации города Беркутовой А.С. тел. 32-19-43</t>
  </si>
  <si>
    <r>
      <t>Мероприятие 2.03  «</t>
    </r>
    <r>
      <rPr>
        <sz val="10"/>
        <color rgb="FFFF000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</si>
  <si>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color rgb="FFFF000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</si>
  <si>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color rgb="FFFF000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</si>
  <si>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t>-</t>
  </si>
  <si>
    <r>
      <t>Мероприятие 1.03</t>
    </r>
    <r>
      <rPr>
        <sz val="10"/>
        <color theme="1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детей. (в т.ч. ПИР)»</t>
    </r>
  </si>
  <si>
    <r>
      <t xml:space="preserve">Показатель 4 </t>
    </r>
    <r>
      <rPr>
        <sz val="10"/>
        <color theme="1"/>
        <rFont val="Times New Roman"/>
        <family val="1"/>
        <charset val="204"/>
      </rPr>
      <t>«Выполнение строительно-монтажных работ на объекте»</t>
    </r>
  </si>
  <si>
    <r>
      <t xml:space="preserve">Мероприятие 2.03 </t>
    </r>
    <r>
      <rPr>
        <sz val="10"/>
        <rFont val="Times New Roman"/>
        <family val="1"/>
        <charset val="204"/>
      </rPr>
      <t>«Разработка схемы теплоснабжения городского округа  город Тверь на период до 2039 года»</t>
    </r>
  </si>
  <si>
    <r>
      <t>Показатель 1 «</t>
    </r>
    <r>
      <rPr>
        <sz val="10"/>
        <rFont val="Times New Roman"/>
        <family val="1"/>
        <charset val="204"/>
      </rPr>
      <t>Количество разработанных схем теплоснабжения 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</si>
  <si>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(без софинансирования из вышестоящих бюджетов)</t>
    </r>
  </si>
  <si>
    <t>A</t>
  </si>
  <si>
    <t>«Коммунальное хозяйство города Твери» на 2021 -2027 годы</t>
  </si>
  <si>
    <t>«Коммунальное хозяйство города Твери» на 2021-2027 годы</t>
  </si>
  <si>
    <t>Приложение 1</t>
  </si>
  <si>
    <t>добавилась тепловая сеть</t>
  </si>
  <si>
    <t>Целевое (суммарное) значение показателя</t>
  </si>
  <si>
    <t>убрать?</t>
  </si>
  <si>
    <r>
      <t xml:space="preserve">Показатель 4 </t>
    </r>
    <r>
      <rPr>
        <sz val="10"/>
        <rFont val="Times New Roman"/>
        <family val="1"/>
        <charset val="204"/>
      </rPr>
      <t xml:space="preserve"> «Протяженность бесхозяйных сетей газоснабжения, на которые выполнена первичная техническая документация»</t>
    </r>
  </si>
  <si>
    <r>
      <t xml:space="preserve">Мероприятие 1.04 </t>
    </r>
    <r>
      <rPr>
        <sz val="10"/>
        <rFont val="Times New Roman"/>
        <family val="1"/>
        <charset val="204"/>
      </rPr>
      <t>«Строительство котельной «Затверецкая» (I-II этапы, в т.ч. ПИР)</t>
    </r>
    <r>
      <rPr>
        <b/>
        <sz val="10"/>
        <rFont val="Times New Roman"/>
        <family val="1"/>
        <charset val="204"/>
      </rPr>
      <t xml:space="preserve">
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</si>
  <si>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котельной»</t>
    </r>
  </si>
  <si>
    <r>
      <t xml:space="preserve">Показатель 2  </t>
    </r>
    <r>
      <rPr>
        <sz val="10"/>
        <rFont val="Times New Roman"/>
        <family val="1"/>
        <charset val="204"/>
      </rPr>
      <t>«Количество построенных котельных»</t>
    </r>
  </si>
  <si>
    <t>от «08» ноября 2024 № 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</si>
</sst>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67" fontId="12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5" fillId="0" borderId="0" xfId="0" applyNumberFormat="1" applyFont="1" applyFill="1" applyBorder="1" applyAlignment="1"/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17" fillId="0" borderId="0" xfId="0" applyFont="1" applyFill="1"/>
    <xf numFmtId="165" fontId="12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6" fontId="1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0" fillId="3" borderId="3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6" borderId="0" xfId="0" applyFont="1" applyFill="1"/>
    <xf numFmtId="49" fontId="34" fillId="5" borderId="1" xfId="0" applyNumberFormat="1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49" fontId="34" fillId="5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/>
    <xf numFmtId="167" fontId="1" fillId="0" borderId="0" xfId="0" applyNumberFormat="1" applyFont="1" applyFill="1" applyAlignment="1">
      <alignment vertical="top" wrapText="1"/>
    </xf>
    <xf numFmtId="167" fontId="1" fillId="0" borderId="0" xfId="0" applyNumberFormat="1" applyFont="1" applyFill="1" applyAlignment="1"/>
    <xf numFmtId="167" fontId="1" fillId="0" borderId="0" xfId="0" applyNumberFormat="1" applyFont="1" applyFill="1" applyAlignment="1">
      <alignment horizontal="left"/>
    </xf>
    <xf numFmtId="167" fontId="36" fillId="0" borderId="0" xfId="0" applyNumberFormat="1" applyFont="1" applyFill="1" applyBorder="1" applyAlignment="1"/>
    <xf numFmtId="167" fontId="1" fillId="0" borderId="0" xfId="0" applyNumberFormat="1" applyFont="1" applyFill="1" applyBorder="1" applyAlignment="1"/>
    <xf numFmtId="167" fontId="36" fillId="0" borderId="0" xfId="0" applyNumberFormat="1" applyFont="1" applyFill="1" applyBorder="1" applyAlignment="1">
      <alignment horizontal="left" vertical="top"/>
    </xf>
    <xf numFmtId="4" fontId="36" fillId="0" borderId="0" xfId="0" applyNumberFormat="1" applyFont="1" applyFill="1" applyBorder="1" applyAlignment="1">
      <alignment horizontal="left" vertical="top"/>
    </xf>
    <xf numFmtId="0" fontId="37" fillId="0" borderId="0" xfId="0" applyFont="1" applyFill="1"/>
    <xf numFmtId="167" fontId="12" fillId="5" borderId="0" xfId="0" applyNumberFormat="1" applyFont="1" applyFill="1"/>
    <xf numFmtId="167" fontId="11" fillId="5" borderId="0" xfId="0" applyNumberFormat="1" applyFont="1" applyFill="1" applyAlignment="1">
      <alignment horizontal="left"/>
    </xf>
    <xf numFmtId="167" fontId="5" fillId="5" borderId="0" xfId="0" applyNumberFormat="1" applyFont="1" applyFill="1" applyBorder="1" applyAlignment="1">
      <alignment horizontal="center"/>
    </xf>
    <xf numFmtId="167" fontId="4" fillId="5" borderId="0" xfId="0" applyNumberFormat="1" applyFont="1" applyFill="1" applyBorder="1" applyAlignment="1"/>
    <xf numFmtId="167" fontId="5" fillId="5" borderId="0" xfId="0" applyNumberFormat="1" applyFont="1" applyFill="1" applyBorder="1" applyAlignment="1">
      <alignment horizontal="left" vertical="top"/>
    </xf>
    <xf numFmtId="167" fontId="8" fillId="5" borderId="0" xfId="0" applyNumberFormat="1" applyFont="1" applyFill="1" applyBorder="1" applyAlignment="1">
      <alignment horizontal="left" vertical="top"/>
    </xf>
    <xf numFmtId="4" fontId="5" fillId="5" borderId="0" xfId="0" applyNumberFormat="1" applyFont="1" applyFill="1" applyBorder="1" applyAlignment="1">
      <alignment horizontal="left" vertical="top"/>
    </xf>
    <xf numFmtId="165" fontId="35" fillId="5" borderId="1" xfId="0" applyNumberFormat="1" applyFont="1" applyFill="1" applyBorder="1" applyAlignment="1">
      <alignment horizontal="center" vertical="center" wrapText="1"/>
    </xf>
    <xf numFmtId="167" fontId="11" fillId="5" borderId="0" xfId="0" applyNumberFormat="1" applyFont="1" applyFill="1"/>
    <xf numFmtId="0" fontId="39" fillId="0" borderId="2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top" wrapText="1"/>
    </xf>
    <xf numFmtId="2" fontId="41" fillId="0" borderId="1" xfId="0" applyNumberFormat="1" applyFont="1" applyFill="1" applyBorder="1" applyAlignment="1">
      <alignment horizontal="center" vertical="center" wrapText="1"/>
    </xf>
    <xf numFmtId="4" fontId="42" fillId="7" borderId="1" xfId="0" applyNumberFormat="1" applyFont="1" applyFill="1" applyBorder="1" applyAlignment="1">
      <alignment horizontal="center" vertical="center" wrapText="1"/>
    </xf>
    <xf numFmtId="4" fontId="24" fillId="7" borderId="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top"/>
    </xf>
    <xf numFmtId="4" fontId="4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67" fontId="3" fillId="5" borderId="0" xfId="0" applyNumberFormat="1" applyFont="1" applyFill="1"/>
    <xf numFmtId="167" fontId="11" fillId="5" borderId="0" xfId="0" applyNumberFormat="1" applyFont="1" applyFill="1" applyAlignment="1">
      <alignment vertical="top" wrapText="1"/>
    </xf>
    <xf numFmtId="167" fontId="11" fillId="5" borderId="0" xfId="0" applyNumberFormat="1" applyFont="1" applyFill="1" applyAlignment="1"/>
    <xf numFmtId="167" fontId="5" fillId="5" borderId="0" xfId="0" applyNumberFormat="1" applyFont="1" applyFill="1" applyBorder="1" applyAlignment="1"/>
    <xf numFmtId="168" fontId="1" fillId="5" borderId="1" xfId="0" applyNumberFormat="1" applyFont="1" applyFill="1" applyBorder="1" applyAlignment="1">
      <alignment horizontal="center" vertical="center" wrapText="1"/>
    </xf>
    <xf numFmtId="167" fontId="19" fillId="5" borderId="0" xfId="0" applyNumberFormat="1" applyFont="1" applyFill="1" applyAlignment="1">
      <alignment horizontal="right"/>
    </xf>
    <xf numFmtId="0" fontId="12" fillId="5" borderId="0" xfId="0" applyFont="1" applyFill="1"/>
    <xf numFmtId="167" fontId="11" fillId="5" borderId="0" xfId="0" applyNumberFormat="1" applyFont="1" applyFill="1" applyAlignment="1">
      <alignment horizontal="right"/>
    </xf>
    <xf numFmtId="0" fontId="43" fillId="0" borderId="0" xfId="0" applyFont="1" applyAlignment="1">
      <alignment horizontal="justify" vertical="center"/>
    </xf>
    <xf numFmtId="167" fontId="12" fillId="5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Fill="1" applyBorder="1"/>
    <xf numFmtId="0" fontId="12" fillId="6" borderId="0" xfId="0" applyFont="1" applyFill="1" applyBorder="1"/>
    <xf numFmtId="0" fontId="24" fillId="6" borderId="0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Fill="1" applyBorder="1"/>
    <xf numFmtId="0" fontId="18" fillId="0" borderId="0" xfId="0" applyFont="1" applyFill="1" applyBorder="1"/>
    <xf numFmtId="0" fontId="12" fillId="4" borderId="0" xfId="0" applyFont="1" applyFill="1" applyBorder="1"/>
    <xf numFmtId="165" fontId="27" fillId="0" borderId="0" xfId="0" applyNumberFormat="1" applyFont="1" applyFill="1" applyBorder="1"/>
    <xf numFmtId="165" fontId="3" fillId="0" borderId="0" xfId="0" applyNumberFormat="1" applyFont="1" applyFill="1" applyBorder="1"/>
    <xf numFmtId="165" fontId="34" fillId="5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/>
    <xf numFmtId="1" fontId="34" fillId="5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 wrapText="1"/>
    </xf>
    <xf numFmtId="1" fontId="14" fillId="5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167" fontId="11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9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" fontId="24" fillId="7" borderId="2" xfId="0" applyNumberFormat="1" applyFont="1" applyFill="1" applyBorder="1" applyAlignment="1">
      <alignment horizontal="center" vertical="center" wrapText="1"/>
    </xf>
    <xf numFmtId="4" fontId="24" fillId="7" borderId="4" xfId="0" applyNumberFormat="1" applyFont="1" applyFill="1" applyBorder="1" applyAlignment="1">
      <alignment horizontal="center" vertical="center" wrapText="1"/>
    </xf>
    <xf numFmtId="4" fontId="42" fillId="7" borderId="2" xfId="0" applyNumberFormat="1" applyFont="1" applyFill="1" applyBorder="1" applyAlignment="1">
      <alignment horizontal="center" vertical="center" wrapText="1"/>
    </xf>
    <xf numFmtId="4" fontId="42" fillId="7" borderId="4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right" vertical="center"/>
    </xf>
    <xf numFmtId="4" fontId="38" fillId="0" borderId="1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top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top" wrapText="1"/>
    </xf>
    <xf numFmtId="2" fontId="38" fillId="0" borderId="4" xfId="0" applyNumberFormat="1" applyFont="1" applyFill="1" applyBorder="1" applyAlignment="1">
      <alignment horizontal="center"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8" xfId="0" applyFont="1" applyFill="1" applyBorder="1" applyAlignment="1">
      <alignment horizontal="center" vertical="top" wrapText="1"/>
    </xf>
    <xf numFmtId="2" fontId="38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885825</xdr:rowOff>
    </xdr:from>
    <xdr:to>
      <xdr:col>11</xdr:col>
      <xdr:colOff>1085850</xdr:colOff>
      <xdr:row>6</xdr:row>
      <xdr:rowOff>1209675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4305300"/>
          <a:ext cx="1057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114300</xdr:colOff>
      <xdr:row>6</xdr:row>
      <xdr:rowOff>590550</xdr:rowOff>
    </xdr:from>
    <xdr:to>
      <xdr:col>10</xdr:col>
      <xdr:colOff>1057275</xdr:colOff>
      <xdr:row>6</xdr:row>
      <xdr:rowOff>990600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10025"/>
          <a:ext cx="942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7"/>
  <sheetViews>
    <sheetView tabSelected="1" view="pageBreakPreview" zoomScale="78" zoomScaleSheetLayoutView="78" workbookViewId="0">
      <selection activeCell="AB6" sqref="AB6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43.85546875" style="12" customWidth="1"/>
    <col min="29" max="29" width="10.85546875" style="10" customWidth="1"/>
    <col min="30" max="30" width="11.85546875" style="25" customWidth="1"/>
    <col min="31" max="31" width="10.7109375" style="131" customWidth="1"/>
    <col min="32" max="32" width="10.5703125" style="131" customWidth="1"/>
    <col min="33" max="33" width="10.7109375" style="158" customWidth="1"/>
    <col min="34" max="34" width="14" style="158" customWidth="1"/>
    <col min="35" max="36" width="12.7109375" style="122" customWidth="1"/>
    <col min="37" max="37" width="12.5703125" style="25" customWidth="1"/>
    <col min="38" max="38" width="11.85546875" style="24" customWidth="1"/>
    <col min="39" max="39" width="9.140625" style="10"/>
    <col min="40" max="40" width="18.140625" style="10" customWidth="1"/>
    <col min="41" max="41" width="12.85546875" style="10" customWidth="1"/>
    <col min="42" max="42" width="13.42578125" style="10" customWidth="1"/>
    <col min="43" max="16384" width="9.140625" style="10"/>
  </cols>
  <sheetData>
    <row r="1" spans="1:38" ht="15.75" x14ac:dyDescent="0.25">
      <c r="AL1" s="21" t="s">
        <v>194</v>
      </c>
    </row>
    <row r="2" spans="1:38" ht="15.75" x14ac:dyDescent="0.25">
      <c r="AL2" s="21" t="s">
        <v>102</v>
      </c>
    </row>
    <row r="3" spans="1:38" ht="15.75" x14ac:dyDescent="0.25">
      <c r="AL3" s="21" t="s">
        <v>202</v>
      </c>
    </row>
    <row r="5" spans="1:38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6"/>
      <c r="AE5" s="132"/>
      <c r="AG5" s="159"/>
      <c r="AH5" s="159"/>
      <c r="AI5" s="123"/>
      <c r="AJ5" s="123"/>
      <c r="AL5" s="21" t="s">
        <v>103</v>
      </c>
    </row>
    <row r="6" spans="1:38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6"/>
      <c r="AE6" s="132"/>
      <c r="AG6" s="160"/>
      <c r="AH6" s="160"/>
      <c r="AI6" s="124"/>
      <c r="AJ6" s="124"/>
      <c r="AK6" s="10"/>
      <c r="AL6" s="21" t="s">
        <v>1</v>
      </c>
    </row>
    <row r="7" spans="1:38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6"/>
      <c r="AE7" s="132"/>
      <c r="AG7" s="132"/>
      <c r="AH7" s="132"/>
      <c r="AI7" s="125"/>
      <c r="AJ7" s="125"/>
      <c r="AK7" s="10"/>
      <c r="AL7" s="21" t="s">
        <v>192</v>
      </c>
    </row>
    <row r="8" spans="1:38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6"/>
      <c r="AE8" s="132"/>
      <c r="AG8" s="132"/>
      <c r="AH8" s="132"/>
      <c r="AI8" s="125"/>
      <c r="AJ8" s="125"/>
      <c r="AK8" s="27"/>
      <c r="AL8" s="22"/>
    </row>
    <row r="9" spans="1:38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6"/>
      <c r="AE9" s="132"/>
      <c r="AG9" s="132"/>
      <c r="AH9" s="132"/>
      <c r="AI9" s="125"/>
      <c r="AJ9" s="125"/>
      <c r="AK9" s="27"/>
      <c r="AL9" s="22"/>
    </row>
    <row r="10" spans="1:38" s="14" customFormat="1" ht="18.75" x14ac:dyDescent="0.25">
      <c r="A10" s="225" t="s">
        <v>89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</row>
    <row r="11" spans="1:38" s="14" customFormat="1" ht="15.75" x14ac:dyDescent="0.25">
      <c r="A11" s="226" t="s">
        <v>193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14" customFormat="1" ht="15.75" x14ac:dyDescent="0.25">
      <c r="A12" s="226" t="s">
        <v>28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14" customFormat="1" ht="15.75" x14ac:dyDescent="0.25">
      <c r="A13" s="3"/>
      <c r="B13" s="232" t="s">
        <v>68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"/>
    </row>
    <row r="14" spans="1:38" s="14" customFormat="1" ht="15.75" x14ac:dyDescent="0.25">
      <c r="A14" s="3"/>
      <c r="B14" s="3"/>
      <c r="C14" s="3"/>
      <c r="D14" s="233" t="s">
        <v>29</v>
      </c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8"/>
      <c r="AE14" s="133"/>
      <c r="AF14" s="133"/>
      <c r="AG14" s="133"/>
      <c r="AH14" s="161"/>
      <c r="AI14" s="126"/>
      <c r="AJ14" s="126"/>
      <c r="AK14" s="29"/>
      <c r="AL14" s="23"/>
    </row>
    <row r="15" spans="1:38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0"/>
      <c r="AE15" s="134"/>
      <c r="AF15" s="134"/>
      <c r="AG15" s="134"/>
      <c r="AH15" s="134"/>
      <c r="AI15" s="127"/>
      <c r="AJ15" s="127"/>
      <c r="AK15" s="29"/>
      <c r="AL15" s="23"/>
    </row>
    <row r="16" spans="1:38" s="14" customFormat="1" ht="19.5" x14ac:dyDescent="0.35">
      <c r="A16" s="107" t="s">
        <v>30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1"/>
      <c r="AE16" s="135"/>
      <c r="AF16" s="135"/>
      <c r="AG16" s="135"/>
      <c r="AH16" s="135"/>
      <c r="AI16" s="128"/>
      <c r="AJ16" s="128"/>
      <c r="AK16" s="29"/>
      <c r="AL16" s="23"/>
    </row>
    <row r="17" spans="1:52" ht="15.75" x14ac:dyDescent="0.25">
      <c r="A17" s="228" t="s">
        <v>31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AD17" s="31"/>
      <c r="AE17" s="135"/>
      <c r="AF17" s="135"/>
      <c r="AG17" s="135"/>
      <c r="AH17" s="135"/>
      <c r="AI17" s="128"/>
      <c r="AJ17" s="128"/>
    </row>
    <row r="18" spans="1:52" ht="15.75" x14ac:dyDescent="0.25">
      <c r="A18" s="228" t="s">
        <v>32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31"/>
      <c r="AE18" s="135"/>
      <c r="AF18" s="135"/>
      <c r="AG18" s="135"/>
      <c r="AH18" s="135"/>
      <c r="AI18" s="128"/>
      <c r="AJ18" s="128"/>
    </row>
    <row r="19" spans="1:52" ht="15.75" x14ac:dyDescent="0.25">
      <c r="A19" s="105" t="s">
        <v>69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31"/>
      <c r="AE19" s="135"/>
      <c r="AF19" s="135"/>
      <c r="AG19" s="135"/>
      <c r="AH19" s="135"/>
      <c r="AI19" s="128"/>
      <c r="AJ19" s="128"/>
    </row>
    <row r="20" spans="1:52" ht="15.75" x14ac:dyDescent="0.25">
      <c r="A20" s="105" t="s">
        <v>50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31"/>
      <c r="AE20" s="135"/>
      <c r="AF20" s="135"/>
      <c r="AG20" s="135"/>
      <c r="AH20" s="135"/>
      <c r="AI20" s="128"/>
      <c r="AJ20" s="128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.75" x14ac:dyDescent="0.25">
      <c r="A21" s="105" t="s">
        <v>51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31"/>
      <c r="AE21" s="135"/>
      <c r="AF21" s="135"/>
      <c r="AG21" s="135"/>
      <c r="AH21" s="135"/>
      <c r="AI21" s="128"/>
      <c r="AJ21" s="128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.75" x14ac:dyDescent="0.25">
      <c r="A22" s="105" t="s">
        <v>52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31"/>
      <c r="AE22" s="135"/>
      <c r="AF22" s="136"/>
      <c r="AG22" s="135"/>
      <c r="AH22" s="135"/>
      <c r="AI22" s="128"/>
      <c r="AJ22" s="128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.75" x14ac:dyDescent="0.25">
      <c r="A23" s="105" t="s">
        <v>53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3"/>
      <c r="AE23" s="137"/>
      <c r="AF23" s="137"/>
      <c r="AG23" s="137"/>
      <c r="AH23" s="137"/>
      <c r="AI23" s="129"/>
      <c r="AJ23" s="129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31"/>
      <c r="AE24" s="135"/>
      <c r="AF24" s="135"/>
      <c r="AG24" s="135"/>
      <c r="AH24" s="135"/>
      <c r="AI24" s="128"/>
      <c r="AJ24" s="128"/>
      <c r="AQ24" s="14"/>
      <c r="AR24" s="14"/>
      <c r="AS24" s="14"/>
      <c r="AT24" s="223"/>
      <c r="AU24" s="224"/>
      <c r="AV24" s="14"/>
      <c r="AW24" s="14"/>
      <c r="AX24" s="14"/>
      <c r="AY24" s="14"/>
      <c r="AZ24" s="14"/>
    </row>
    <row r="25" spans="1:52" ht="27" customHeight="1" x14ac:dyDescent="0.25">
      <c r="A25" s="229" t="s">
        <v>16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30" t="s">
        <v>4</v>
      </c>
      <c r="AC25" s="230" t="s">
        <v>5</v>
      </c>
      <c r="AD25" s="220" t="s">
        <v>6</v>
      </c>
      <c r="AE25" s="220"/>
      <c r="AF25" s="220"/>
      <c r="AG25" s="220"/>
      <c r="AH25" s="220"/>
      <c r="AI25" s="220"/>
      <c r="AJ25" s="220"/>
      <c r="AK25" s="227" t="s">
        <v>196</v>
      </c>
      <c r="AL25" s="227"/>
      <c r="AQ25" s="14"/>
      <c r="AR25" s="14"/>
      <c r="AS25" s="177"/>
      <c r="AT25" s="14"/>
      <c r="AU25" s="14"/>
      <c r="AV25" s="14"/>
      <c r="AW25" s="14"/>
      <c r="AX25" s="14"/>
      <c r="AY25" s="14"/>
      <c r="AZ25" s="14"/>
    </row>
    <row r="26" spans="1:52" ht="39" customHeight="1" x14ac:dyDescent="0.25">
      <c r="A26" s="229" t="s">
        <v>20</v>
      </c>
      <c r="B26" s="229"/>
      <c r="C26" s="229"/>
      <c r="D26" s="229" t="s">
        <v>18</v>
      </c>
      <c r="E26" s="229"/>
      <c r="F26" s="229" t="s">
        <v>19</v>
      </c>
      <c r="G26" s="229"/>
      <c r="H26" s="229" t="s">
        <v>17</v>
      </c>
      <c r="I26" s="229"/>
      <c r="J26" s="229"/>
      <c r="K26" s="229"/>
      <c r="L26" s="229"/>
      <c r="M26" s="229"/>
      <c r="N26" s="229"/>
      <c r="O26" s="41"/>
      <c r="P26" s="42"/>
      <c r="Q26" s="200" t="s">
        <v>8</v>
      </c>
      <c r="R26" s="200" t="s">
        <v>9</v>
      </c>
      <c r="S26" s="200" t="s">
        <v>10</v>
      </c>
      <c r="T26" s="42"/>
      <c r="U26" s="43"/>
      <c r="V26" s="43"/>
      <c r="W26" s="43"/>
      <c r="X26" s="35" t="s">
        <v>33</v>
      </c>
      <c r="Y26" s="234" t="s">
        <v>67</v>
      </c>
      <c r="Z26" s="234"/>
      <c r="AA26" s="234"/>
      <c r="AB26" s="230"/>
      <c r="AC26" s="230"/>
      <c r="AD26" s="201">
        <v>2021</v>
      </c>
      <c r="AE26" s="202">
        <v>2022</v>
      </c>
      <c r="AF26" s="202">
        <v>2023</v>
      </c>
      <c r="AG26" s="202">
        <v>2024</v>
      </c>
      <c r="AH26" s="202">
        <v>2025</v>
      </c>
      <c r="AI26" s="202">
        <v>2026</v>
      </c>
      <c r="AJ26" s="202">
        <v>2027</v>
      </c>
      <c r="AK26" s="32" t="s">
        <v>14</v>
      </c>
      <c r="AL26" s="19" t="s">
        <v>15</v>
      </c>
      <c r="AQ26" s="14"/>
      <c r="AR26" s="178"/>
      <c r="AS26" s="179"/>
      <c r="AT26" s="176"/>
      <c r="AU26" s="176"/>
      <c r="AV26" s="14"/>
      <c r="AW26" s="14"/>
      <c r="AX26" s="14"/>
      <c r="AY26" s="14"/>
      <c r="AZ26" s="14"/>
    </row>
    <row r="27" spans="1:52" s="36" customFormat="1" ht="16.5" x14ac:dyDescent="0.25">
      <c r="A27" s="203">
        <v>1</v>
      </c>
      <c r="B27" s="203">
        <v>2</v>
      </c>
      <c r="C27" s="203">
        <v>3</v>
      </c>
      <c r="D27" s="203">
        <v>4</v>
      </c>
      <c r="E27" s="203">
        <v>5</v>
      </c>
      <c r="F27" s="203">
        <v>6</v>
      </c>
      <c r="G27" s="203">
        <v>7</v>
      </c>
      <c r="H27" s="203">
        <v>8</v>
      </c>
      <c r="I27" s="203">
        <v>9</v>
      </c>
      <c r="J27" s="203">
        <v>10</v>
      </c>
      <c r="K27" s="203">
        <v>11</v>
      </c>
      <c r="L27" s="203">
        <v>12</v>
      </c>
      <c r="M27" s="203">
        <v>13</v>
      </c>
      <c r="N27" s="203">
        <v>14</v>
      </c>
      <c r="O27" s="203"/>
      <c r="P27" s="203">
        <v>1</v>
      </c>
      <c r="Q27" s="203">
        <v>2</v>
      </c>
      <c r="R27" s="203">
        <v>3</v>
      </c>
      <c r="S27" s="203">
        <v>4</v>
      </c>
      <c r="T27" s="203">
        <v>5</v>
      </c>
      <c r="U27" s="204">
        <v>6</v>
      </c>
      <c r="V27" s="204">
        <v>7</v>
      </c>
      <c r="W27" s="204">
        <v>8</v>
      </c>
      <c r="X27" s="204" t="s">
        <v>34</v>
      </c>
      <c r="Y27" s="204" t="s">
        <v>34</v>
      </c>
      <c r="Z27" s="204" t="s">
        <v>65</v>
      </c>
      <c r="AA27" s="204" t="s">
        <v>66</v>
      </c>
      <c r="AB27" s="203">
        <v>18</v>
      </c>
      <c r="AC27" s="203">
        <v>19</v>
      </c>
      <c r="AD27" s="205">
        <v>20</v>
      </c>
      <c r="AE27" s="206">
        <v>21</v>
      </c>
      <c r="AF27" s="206">
        <v>22</v>
      </c>
      <c r="AG27" s="206">
        <v>23</v>
      </c>
      <c r="AH27" s="206">
        <v>24</v>
      </c>
      <c r="AI27" s="207">
        <v>25</v>
      </c>
      <c r="AJ27" s="205">
        <v>26</v>
      </c>
      <c r="AK27" s="205">
        <v>27</v>
      </c>
      <c r="AL27" s="205">
        <v>28</v>
      </c>
      <c r="AQ27" s="180"/>
      <c r="AR27" s="208"/>
      <c r="AS27" s="209"/>
      <c r="AT27" s="210"/>
      <c r="AU27" s="210"/>
      <c r="AV27" s="180"/>
      <c r="AW27" s="180"/>
      <c r="AX27" s="180"/>
      <c r="AY27" s="180"/>
      <c r="AZ27" s="180"/>
    </row>
    <row r="28" spans="1:52" ht="33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52" t="s">
        <v>13</v>
      </c>
      <c r="R28" s="52"/>
      <c r="S28" s="52"/>
      <c r="T28" s="52"/>
      <c r="U28" s="53"/>
      <c r="V28" s="53"/>
      <c r="W28" s="53"/>
      <c r="X28" s="54"/>
      <c r="Y28" s="54"/>
      <c r="Z28" s="54"/>
      <c r="AA28" s="54"/>
      <c r="AB28" s="55" t="s">
        <v>70</v>
      </c>
      <c r="AC28" s="111" t="s">
        <v>3</v>
      </c>
      <c r="AD28" s="112">
        <f t="shared" ref="AD28:AI28" si="0">SUM(AD34,AD66,AD96)</f>
        <v>397324.23000000004</v>
      </c>
      <c r="AE28" s="112">
        <f t="shared" si="0"/>
        <v>290403.49999999994</v>
      </c>
      <c r="AF28" s="112">
        <f t="shared" si="0"/>
        <v>388418.1</v>
      </c>
      <c r="AG28" s="112">
        <f t="shared" si="0"/>
        <v>311755.3</v>
      </c>
      <c r="AH28" s="112">
        <f t="shared" si="0"/>
        <v>95168.900000000009</v>
      </c>
      <c r="AI28" s="112">
        <f t="shared" si="0"/>
        <v>85763.7</v>
      </c>
      <c r="AJ28" s="112">
        <f>AJ34+AJ66+AJ96</f>
        <v>105192.6</v>
      </c>
      <c r="AK28" s="112">
        <f>SUM(AD28:AJ28)</f>
        <v>1674026.33</v>
      </c>
      <c r="AL28" s="113">
        <v>2027</v>
      </c>
      <c r="AQ28" s="14"/>
      <c r="AR28" s="181"/>
      <c r="AS28" s="179"/>
      <c r="AT28" s="176"/>
      <c r="AU28" s="176"/>
      <c r="AV28" s="14"/>
      <c r="AW28" s="14"/>
      <c r="AX28" s="14"/>
      <c r="AY28" s="14"/>
      <c r="AZ28" s="14"/>
    </row>
    <row r="29" spans="1:52" ht="79.5" customHeigh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5"/>
      <c r="P29" s="17"/>
      <c r="Q29" s="17"/>
      <c r="R29" s="17"/>
      <c r="S29" s="17"/>
      <c r="T29" s="17"/>
      <c r="U29" s="16"/>
      <c r="V29" s="16"/>
      <c r="W29" s="16"/>
      <c r="X29" s="37"/>
      <c r="Y29" s="37"/>
      <c r="Z29" s="37"/>
      <c r="AA29" s="37"/>
      <c r="AB29" s="40" t="s">
        <v>54</v>
      </c>
      <c r="AC29" s="38"/>
      <c r="AD29" s="18"/>
      <c r="AE29" s="91"/>
      <c r="AF29" s="88"/>
      <c r="AG29" s="138">
        <f>AG34+AG88+AG96</f>
        <v>32048.5</v>
      </c>
      <c r="AH29" s="138">
        <f>AH34+AH88+AH96</f>
        <v>40857.5</v>
      </c>
      <c r="AI29" s="18"/>
      <c r="AJ29" s="18"/>
      <c r="AK29" s="32"/>
      <c r="AL29" s="19"/>
      <c r="AQ29" s="14"/>
      <c r="AR29" s="181"/>
      <c r="AS29" s="179"/>
      <c r="AT29" s="176"/>
      <c r="AU29" s="176"/>
      <c r="AV29" s="14"/>
      <c r="AW29" s="14"/>
      <c r="AX29" s="14"/>
      <c r="AY29" s="14"/>
      <c r="AZ29" s="14"/>
    </row>
    <row r="30" spans="1:52" ht="33" customHeigh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5"/>
      <c r="P30" s="17"/>
      <c r="Q30" s="17"/>
      <c r="R30" s="17"/>
      <c r="S30" s="17"/>
      <c r="T30" s="17"/>
      <c r="U30" s="16"/>
      <c r="V30" s="16"/>
      <c r="W30" s="16"/>
      <c r="X30" s="37"/>
      <c r="Y30" s="37"/>
      <c r="Z30" s="37"/>
      <c r="AA30" s="37"/>
      <c r="AB30" s="40" t="s">
        <v>108</v>
      </c>
      <c r="AC30" s="9" t="s">
        <v>7</v>
      </c>
      <c r="AD30" s="19">
        <v>82</v>
      </c>
      <c r="AE30" s="89">
        <v>82</v>
      </c>
      <c r="AF30" s="89">
        <v>79</v>
      </c>
      <c r="AG30" s="89">
        <v>81</v>
      </c>
      <c r="AH30" s="89">
        <v>80</v>
      </c>
      <c r="AI30" s="19">
        <v>79</v>
      </c>
      <c r="AJ30" s="89">
        <v>79</v>
      </c>
      <c r="AK30" s="89">
        <v>79</v>
      </c>
      <c r="AL30" s="19">
        <v>2027</v>
      </c>
      <c r="AQ30" s="14"/>
      <c r="AR30" s="181"/>
      <c r="AS30" s="179"/>
      <c r="AT30" s="176"/>
      <c r="AU30" s="176"/>
      <c r="AV30" s="14"/>
      <c r="AW30" s="14"/>
      <c r="AX30" s="14"/>
      <c r="AY30" s="14"/>
      <c r="AZ30" s="14"/>
    </row>
    <row r="31" spans="1:52" ht="30" customHeigh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5"/>
      <c r="P31" s="17"/>
      <c r="Q31" s="17"/>
      <c r="R31" s="17"/>
      <c r="S31" s="17"/>
      <c r="T31" s="17"/>
      <c r="U31" s="16"/>
      <c r="V31" s="16"/>
      <c r="W31" s="16"/>
      <c r="X31" s="37"/>
      <c r="Y31" s="37"/>
      <c r="Z31" s="37"/>
      <c r="AA31" s="37"/>
      <c r="AB31" s="40" t="s">
        <v>109</v>
      </c>
      <c r="AC31" s="9" t="s">
        <v>7</v>
      </c>
      <c r="AD31" s="19">
        <v>41</v>
      </c>
      <c r="AE31" s="89">
        <v>40</v>
      </c>
      <c r="AF31" s="89">
        <v>69</v>
      </c>
      <c r="AG31" s="89">
        <v>69</v>
      </c>
      <c r="AH31" s="89">
        <v>69</v>
      </c>
      <c r="AI31" s="19">
        <v>70</v>
      </c>
      <c r="AJ31" s="19">
        <v>72</v>
      </c>
      <c r="AK31" s="19">
        <f>AJ31</f>
        <v>72</v>
      </c>
      <c r="AL31" s="19">
        <v>2027</v>
      </c>
      <c r="AQ31" s="14"/>
      <c r="AR31" s="182"/>
      <c r="AS31" s="179"/>
      <c r="AT31" s="176"/>
      <c r="AU31" s="176"/>
      <c r="AV31" s="14"/>
      <c r="AW31" s="14"/>
      <c r="AX31" s="14"/>
      <c r="AY31" s="14"/>
      <c r="AZ31" s="14"/>
    </row>
    <row r="32" spans="1:52" ht="30.75" customHeigh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5"/>
      <c r="P32" s="17"/>
      <c r="Q32" s="17"/>
      <c r="R32" s="17"/>
      <c r="S32" s="17"/>
      <c r="T32" s="17"/>
      <c r="U32" s="16"/>
      <c r="V32" s="16"/>
      <c r="W32" s="16"/>
      <c r="X32" s="37"/>
      <c r="Y32" s="37"/>
      <c r="Z32" s="37"/>
      <c r="AA32" s="37"/>
      <c r="AB32" s="40" t="s">
        <v>110</v>
      </c>
      <c r="AC32" s="9" t="s">
        <v>7</v>
      </c>
      <c r="AD32" s="19">
        <v>66</v>
      </c>
      <c r="AE32" s="89">
        <v>65</v>
      </c>
      <c r="AF32" s="89">
        <v>84</v>
      </c>
      <c r="AG32" s="89">
        <v>84</v>
      </c>
      <c r="AH32" s="89">
        <v>72</v>
      </c>
      <c r="AI32" s="19">
        <v>73</v>
      </c>
      <c r="AJ32" s="19">
        <v>74</v>
      </c>
      <c r="AK32" s="19">
        <f>AJ32</f>
        <v>74</v>
      </c>
      <c r="AL32" s="19">
        <v>2027</v>
      </c>
      <c r="AQ32" s="14"/>
      <c r="AR32" s="181"/>
      <c r="AS32" s="179"/>
      <c r="AT32" s="176"/>
      <c r="AU32" s="176"/>
      <c r="AV32" s="14"/>
      <c r="AW32" s="14"/>
      <c r="AX32" s="14"/>
      <c r="AY32" s="14"/>
      <c r="AZ32" s="14"/>
    </row>
    <row r="33" spans="1:52" ht="33" customHeigh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5"/>
      <c r="P33" s="17"/>
      <c r="Q33" s="17"/>
      <c r="R33" s="17"/>
      <c r="S33" s="17"/>
      <c r="T33" s="17"/>
      <c r="U33" s="16"/>
      <c r="V33" s="16"/>
      <c r="W33" s="16"/>
      <c r="X33" s="37"/>
      <c r="Y33" s="37"/>
      <c r="Z33" s="37"/>
      <c r="AA33" s="37"/>
      <c r="AB33" s="40" t="s">
        <v>111</v>
      </c>
      <c r="AC33" s="9" t="s">
        <v>7</v>
      </c>
      <c r="AD33" s="19">
        <v>70</v>
      </c>
      <c r="AE33" s="89">
        <v>70</v>
      </c>
      <c r="AF33" s="89">
        <v>70</v>
      </c>
      <c r="AG33" s="89">
        <v>69</v>
      </c>
      <c r="AH33" s="89">
        <v>68</v>
      </c>
      <c r="AI33" s="19">
        <v>68</v>
      </c>
      <c r="AJ33" s="19">
        <v>68</v>
      </c>
      <c r="AK33" s="19">
        <f>AJ33</f>
        <v>68</v>
      </c>
      <c r="AL33" s="19">
        <v>2027</v>
      </c>
      <c r="AQ33" s="14"/>
      <c r="AR33" s="182"/>
      <c r="AS33" s="179"/>
      <c r="AT33" s="176"/>
      <c r="AU33" s="176"/>
      <c r="AV33" s="14"/>
      <c r="AW33" s="14"/>
      <c r="AX33" s="14"/>
      <c r="AY33" s="14"/>
      <c r="AZ33" s="14"/>
    </row>
    <row r="34" spans="1:52" ht="60.75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5"/>
      <c r="P34" s="45"/>
      <c r="Q34" s="45"/>
      <c r="R34" s="45" t="s">
        <v>37</v>
      </c>
      <c r="S34" s="45"/>
      <c r="T34" s="45"/>
      <c r="U34" s="44"/>
      <c r="V34" s="44"/>
      <c r="W34" s="44"/>
      <c r="X34" s="56"/>
      <c r="Y34" s="56"/>
      <c r="Z34" s="56"/>
      <c r="AA34" s="56"/>
      <c r="AB34" s="46" t="s">
        <v>55</v>
      </c>
      <c r="AC34" s="47" t="s">
        <v>3</v>
      </c>
      <c r="AD34" s="48">
        <f>SUM(AD35,AD54)</f>
        <v>4756.5</v>
      </c>
      <c r="AE34" s="48">
        <f>SUM(AE35,AE54)</f>
        <v>3980.1</v>
      </c>
      <c r="AF34" s="48">
        <f t="shared" ref="AF34:AI34" si="1">SUM(AF35,AF54)</f>
        <v>2797.6</v>
      </c>
      <c r="AG34" s="48">
        <f t="shared" si="1"/>
        <v>4350.7000000000007</v>
      </c>
      <c r="AH34" s="48">
        <f t="shared" si="1"/>
        <v>8535.2999999999993</v>
      </c>
      <c r="AI34" s="48">
        <f t="shared" si="1"/>
        <v>23257.5</v>
      </c>
      <c r="AJ34" s="48">
        <f>AJ35+AJ54</f>
        <v>23257.5</v>
      </c>
      <c r="AK34" s="48">
        <f>SUM(AD34:AJ34)</f>
        <v>70935.199999999997</v>
      </c>
      <c r="AL34" s="195">
        <v>2027</v>
      </c>
      <c r="AQ34" s="14"/>
      <c r="AR34" s="182"/>
      <c r="AS34" s="179"/>
      <c r="AT34" s="176"/>
      <c r="AU34" s="176"/>
      <c r="AV34" s="14"/>
      <c r="AW34" s="14"/>
      <c r="AX34" s="14"/>
      <c r="AY34" s="14"/>
      <c r="AZ34" s="14"/>
    </row>
    <row r="35" spans="1:52" ht="57" customHeight="1" x14ac:dyDescent="0.25">
      <c r="A35" s="57"/>
      <c r="B35" s="57"/>
      <c r="C35" s="57"/>
      <c r="D35" s="57"/>
      <c r="E35" s="57"/>
      <c r="F35" s="57"/>
      <c r="G35" s="57"/>
      <c r="H35" s="57" t="s">
        <v>21</v>
      </c>
      <c r="I35" s="57" t="s">
        <v>22</v>
      </c>
      <c r="J35" s="57" t="s">
        <v>23</v>
      </c>
      <c r="K35" s="57" t="s">
        <v>21</v>
      </c>
      <c r="L35" s="57" t="s">
        <v>23</v>
      </c>
      <c r="M35" s="57" t="s">
        <v>21</v>
      </c>
      <c r="N35" s="57" t="s">
        <v>21</v>
      </c>
      <c r="O35" s="58"/>
      <c r="P35" s="58"/>
      <c r="Q35" s="58"/>
      <c r="R35" s="58"/>
      <c r="S35" s="58" t="s">
        <v>38</v>
      </c>
      <c r="T35" s="58"/>
      <c r="U35" s="57"/>
      <c r="V35" s="57"/>
      <c r="W35" s="57"/>
      <c r="X35" s="59"/>
      <c r="Y35" s="59" t="s">
        <v>21</v>
      </c>
      <c r="Z35" s="59" t="s">
        <v>21</v>
      </c>
      <c r="AA35" s="59" t="s">
        <v>21</v>
      </c>
      <c r="AB35" s="69" t="s">
        <v>95</v>
      </c>
      <c r="AC35" s="60" t="s">
        <v>3</v>
      </c>
      <c r="AD35" s="61">
        <f t="shared" ref="AD35" si="2">SUM(AD40,AD45,AD48)</f>
        <v>2430.8000000000002</v>
      </c>
      <c r="AE35" s="61">
        <f>SUM(AE40,AE45,AE48,AE51)</f>
        <v>3076.2</v>
      </c>
      <c r="AF35" s="61">
        <f>SUM(AF40,AF45,AF48,AF51)</f>
        <v>1921.3</v>
      </c>
      <c r="AG35" s="61">
        <f>SUM(AG40,AG45,AG48,AG51)</f>
        <v>2256.1</v>
      </c>
      <c r="AH35" s="61">
        <f>SUM(AH40,AH45,AH48,AH51)</f>
        <v>2337.6999999999998</v>
      </c>
      <c r="AI35" s="61">
        <f>SUM(AI40,AI45,AI48,AI51)</f>
        <v>2337.6999999999998</v>
      </c>
      <c r="AJ35" s="61">
        <f>AJ40+AJ45+AJ48+AJ51</f>
        <v>2337.6999999999998</v>
      </c>
      <c r="AK35" s="61">
        <f>SUM(AD35:AJ35)</f>
        <v>16697.5</v>
      </c>
      <c r="AL35" s="62">
        <v>2027</v>
      </c>
      <c r="AM35" s="99"/>
      <c r="AN35" s="99"/>
      <c r="AQ35" s="14"/>
      <c r="AR35" s="182"/>
      <c r="AS35" s="179"/>
      <c r="AT35" s="176"/>
      <c r="AU35" s="176"/>
      <c r="AV35" s="14"/>
      <c r="AW35" s="14"/>
      <c r="AX35" s="14"/>
      <c r="AY35" s="14"/>
      <c r="AZ35" s="14"/>
    </row>
    <row r="36" spans="1:52" ht="57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5"/>
      <c r="P36" s="17"/>
      <c r="Q36" s="17"/>
      <c r="R36" s="17"/>
      <c r="S36" s="17"/>
      <c r="T36" s="17"/>
      <c r="U36" s="16"/>
      <c r="V36" s="16"/>
      <c r="W36" s="16"/>
      <c r="X36" s="37"/>
      <c r="Y36" s="37"/>
      <c r="Z36" s="37"/>
      <c r="AA36" s="37"/>
      <c r="AB36" s="40" t="s">
        <v>96</v>
      </c>
      <c r="AC36" s="9" t="s">
        <v>7</v>
      </c>
      <c r="AD36" s="19">
        <v>100</v>
      </c>
      <c r="AE36" s="89">
        <v>100</v>
      </c>
      <c r="AF36" s="89">
        <v>100</v>
      </c>
      <c r="AG36" s="89">
        <v>100</v>
      </c>
      <c r="AH36" s="89">
        <v>100</v>
      </c>
      <c r="AI36" s="19">
        <v>100</v>
      </c>
      <c r="AJ36" s="19">
        <v>100</v>
      </c>
      <c r="AK36" s="19">
        <v>100</v>
      </c>
      <c r="AL36" s="19">
        <v>2027</v>
      </c>
      <c r="AN36" s="99"/>
      <c r="AQ36" s="14"/>
      <c r="AR36" s="182"/>
      <c r="AS36" s="179"/>
      <c r="AT36" s="176"/>
      <c r="AU36" s="176"/>
      <c r="AV36" s="14"/>
      <c r="AW36" s="14"/>
      <c r="AX36" s="14"/>
      <c r="AY36" s="14"/>
      <c r="AZ36" s="14"/>
    </row>
    <row r="37" spans="1:52" ht="71.25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5"/>
      <c r="P37" s="17"/>
      <c r="Q37" s="17"/>
      <c r="R37" s="17"/>
      <c r="S37" s="17"/>
      <c r="T37" s="17"/>
      <c r="U37" s="16"/>
      <c r="V37" s="16"/>
      <c r="W37" s="16"/>
      <c r="X37" s="37"/>
      <c r="Y37" s="37"/>
      <c r="Z37" s="37"/>
      <c r="AA37" s="37"/>
      <c r="AB37" s="40" t="s">
        <v>97</v>
      </c>
      <c r="AC37" s="9" t="s">
        <v>7</v>
      </c>
      <c r="AD37" s="19">
        <v>100</v>
      </c>
      <c r="AE37" s="89">
        <v>100</v>
      </c>
      <c r="AF37" s="89">
        <v>100</v>
      </c>
      <c r="AG37" s="89">
        <v>100</v>
      </c>
      <c r="AH37" s="89">
        <v>100</v>
      </c>
      <c r="AI37" s="19">
        <v>100</v>
      </c>
      <c r="AJ37" s="19">
        <v>100</v>
      </c>
      <c r="AK37" s="19">
        <v>100</v>
      </c>
      <c r="AL37" s="19">
        <v>2027</v>
      </c>
      <c r="AN37" s="99"/>
      <c r="AQ37" s="14"/>
      <c r="AR37" s="182"/>
      <c r="AS37" s="179"/>
      <c r="AT37" s="176"/>
      <c r="AU37" s="176"/>
      <c r="AV37" s="14"/>
      <c r="AW37" s="14"/>
      <c r="AX37" s="14"/>
      <c r="AY37" s="14"/>
      <c r="AZ37" s="14"/>
    </row>
    <row r="38" spans="1:52" ht="54" customHeight="1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5"/>
      <c r="P38" s="17"/>
      <c r="Q38" s="17"/>
      <c r="R38" s="17"/>
      <c r="S38" s="17"/>
      <c r="T38" s="17"/>
      <c r="U38" s="16"/>
      <c r="V38" s="16"/>
      <c r="W38" s="16"/>
      <c r="X38" s="37"/>
      <c r="Y38" s="37"/>
      <c r="Z38" s="37"/>
      <c r="AA38" s="37"/>
      <c r="AB38" s="40" t="s">
        <v>98</v>
      </c>
      <c r="AC38" s="9" t="s">
        <v>7</v>
      </c>
      <c r="AD38" s="19">
        <v>100</v>
      </c>
      <c r="AE38" s="89">
        <v>100</v>
      </c>
      <c r="AF38" s="89">
        <v>100</v>
      </c>
      <c r="AG38" s="89">
        <v>100</v>
      </c>
      <c r="AH38" s="89">
        <v>100</v>
      </c>
      <c r="AI38" s="19">
        <v>100</v>
      </c>
      <c r="AJ38" s="19">
        <v>100</v>
      </c>
      <c r="AK38" s="19">
        <v>100</v>
      </c>
      <c r="AL38" s="19">
        <v>2027</v>
      </c>
      <c r="AQ38" s="14"/>
      <c r="AR38" s="182"/>
      <c r="AS38" s="179"/>
      <c r="AT38" s="176"/>
      <c r="AU38" s="176"/>
      <c r="AV38" s="14"/>
      <c r="AW38" s="14"/>
      <c r="AX38" s="14"/>
      <c r="AY38" s="14"/>
      <c r="AZ38" s="14"/>
    </row>
    <row r="39" spans="1:52" ht="55.5" customHeight="1" x14ac:dyDescent="0.3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5"/>
      <c r="P39" s="17"/>
      <c r="Q39" s="17"/>
      <c r="R39" s="17"/>
      <c r="S39" s="17"/>
      <c r="T39" s="17"/>
      <c r="U39" s="16"/>
      <c r="V39" s="16"/>
      <c r="W39" s="16"/>
      <c r="X39" s="37"/>
      <c r="Y39" s="37"/>
      <c r="Z39" s="37"/>
      <c r="AA39" s="37"/>
      <c r="AB39" s="40" t="s">
        <v>99</v>
      </c>
      <c r="AC39" s="9" t="s">
        <v>7</v>
      </c>
      <c r="AD39" s="19">
        <v>100</v>
      </c>
      <c r="AE39" s="89">
        <v>100</v>
      </c>
      <c r="AF39" s="89">
        <v>100</v>
      </c>
      <c r="AG39" s="89">
        <v>100</v>
      </c>
      <c r="AH39" s="89">
        <v>100</v>
      </c>
      <c r="AI39" s="19">
        <v>100</v>
      </c>
      <c r="AJ39" s="19">
        <v>100</v>
      </c>
      <c r="AK39" s="19">
        <v>100</v>
      </c>
      <c r="AL39" s="19">
        <v>2027</v>
      </c>
      <c r="AQ39" s="14"/>
      <c r="AR39" s="183"/>
      <c r="AS39" s="179"/>
      <c r="AT39" s="176"/>
      <c r="AU39" s="176"/>
      <c r="AV39" s="14"/>
      <c r="AW39" s="14"/>
      <c r="AX39" s="14"/>
      <c r="AY39" s="14"/>
      <c r="AZ39" s="14"/>
    </row>
    <row r="40" spans="1:52" ht="47.25" customHeight="1" x14ac:dyDescent="0.25">
      <c r="A40" s="66" t="s">
        <v>21</v>
      </c>
      <c r="B40" s="66" t="s">
        <v>26</v>
      </c>
      <c r="C40" s="66" t="s">
        <v>25</v>
      </c>
      <c r="D40" s="66" t="s">
        <v>21</v>
      </c>
      <c r="E40" s="66" t="s">
        <v>27</v>
      </c>
      <c r="F40" s="66" t="s">
        <v>21</v>
      </c>
      <c r="G40" s="66" t="s">
        <v>24</v>
      </c>
      <c r="H40" s="66" t="s">
        <v>21</v>
      </c>
      <c r="I40" s="66" t="s">
        <v>22</v>
      </c>
      <c r="J40" s="66" t="s">
        <v>23</v>
      </c>
      <c r="K40" s="66" t="s">
        <v>21</v>
      </c>
      <c r="L40" s="66" t="s">
        <v>23</v>
      </c>
      <c r="M40" s="85" t="s">
        <v>124</v>
      </c>
      <c r="N40" s="85" t="s">
        <v>124</v>
      </c>
      <c r="O40" s="65"/>
      <c r="P40" s="65"/>
      <c r="Q40" s="65"/>
      <c r="R40" s="65"/>
      <c r="S40" s="65"/>
      <c r="T40" s="65" t="s">
        <v>39</v>
      </c>
      <c r="U40" s="66"/>
      <c r="V40" s="66"/>
      <c r="W40" s="66"/>
      <c r="X40" s="39"/>
      <c r="Y40" s="39" t="s">
        <v>124</v>
      </c>
      <c r="Z40" s="39" t="s">
        <v>124</v>
      </c>
      <c r="AA40" s="39" t="s">
        <v>124</v>
      </c>
      <c r="AB40" s="40" t="s">
        <v>80</v>
      </c>
      <c r="AC40" s="9" t="s">
        <v>3</v>
      </c>
      <c r="AD40" s="34">
        <f>1278.9-53-16.5</f>
        <v>1209.4000000000001</v>
      </c>
      <c r="AE40" s="88">
        <v>1744</v>
      </c>
      <c r="AF40" s="88">
        <v>550</v>
      </c>
      <c r="AG40" s="88">
        <v>550</v>
      </c>
      <c r="AH40" s="88">
        <v>554.70000000000005</v>
      </c>
      <c r="AI40" s="88">
        <v>554.70000000000005</v>
      </c>
      <c r="AJ40" s="88">
        <v>554.70000000000005</v>
      </c>
      <c r="AK40" s="88">
        <f t="shared" ref="AK40:AK45" si="3">SUM(AD40:AJ40)</f>
        <v>5717.5</v>
      </c>
      <c r="AL40" s="19">
        <v>2027</v>
      </c>
      <c r="AQ40" s="14"/>
      <c r="AR40" s="14"/>
      <c r="AS40" s="179"/>
      <c r="AT40" s="176"/>
      <c r="AU40" s="176"/>
      <c r="AV40" s="14"/>
      <c r="AW40" s="14"/>
      <c r="AX40" s="14"/>
      <c r="AY40" s="14"/>
      <c r="AZ40" s="14"/>
    </row>
    <row r="41" spans="1:52" ht="45.75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5"/>
      <c r="P41" s="65"/>
      <c r="Q41" s="65"/>
      <c r="R41" s="65"/>
      <c r="S41" s="65"/>
      <c r="T41" s="65"/>
      <c r="U41" s="66"/>
      <c r="V41" s="66"/>
      <c r="W41" s="66"/>
      <c r="X41" s="39"/>
      <c r="Y41" s="39"/>
      <c r="Z41" s="39"/>
      <c r="AA41" s="39"/>
      <c r="AB41" s="40" t="s">
        <v>83</v>
      </c>
      <c r="AC41" s="9" t="s">
        <v>35</v>
      </c>
      <c r="AD41" s="218">
        <v>8.0670000000000002</v>
      </c>
      <c r="AE41" s="91">
        <v>5.7</v>
      </c>
      <c r="AF41" s="91">
        <v>0</v>
      </c>
      <c r="AG41" s="91">
        <f>300/1000</f>
        <v>0.3</v>
      </c>
      <c r="AH41" s="91">
        <v>0</v>
      </c>
      <c r="AI41" s="218">
        <v>2.5</v>
      </c>
      <c r="AJ41" s="218">
        <v>2.5</v>
      </c>
      <c r="AK41" s="218">
        <f t="shared" si="3"/>
        <v>19.067</v>
      </c>
      <c r="AL41" s="19">
        <v>2027</v>
      </c>
      <c r="AQ41" s="14"/>
      <c r="AR41" s="14"/>
      <c r="AS41" s="179"/>
      <c r="AT41" s="176"/>
      <c r="AU41" s="176"/>
      <c r="AV41" s="14"/>
      <c r="AW41" s="14"/>
      <c r="AX41" s="14"/>
      <c r="AY41" s="14"/>
      <c r="AZ41" s="14"/>
    </row>
    <row r="42" spans="1:52" ht="54" customHeight="1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5"/>
      <c r="P42" s="65"/>
      <c r="Q42" s="65"/>
      <c r="R42" s="65"/>
      <c r="S42" s="65"/>
      <c r="T42" s="65"/>
      <c r="U42" s="66"/>
      <c r="V42" s="66"/>
      <c r="W42" s="66"/>
      <c r="X42" s="39"/>
      <c r="Y42" s="39"/>
      <c r="Z42" s="39"/>
      <c r="AA42" s="39"/>
      <c r="AB42" s="40" t="s">
        <v>72</v>
      </c>
      <c r="AC42" s="9" t="s">
        <v>35</v>
      </c>
      <c r="AD42" s="218">
        <v>4.1875</v>
      </c>
      <c r="AE42" s="91">
        <v>4.2300000000000004</v>
      </c>
      <c r="AF42" s="91">
        <v>0.5</v>
      </c>
      <c r="AG42" s="91">
        <v>1</v>
      </c>
      <c r="AH42" s="91">
        <v>0.5</v>
      </c>
      <c r="AI42" s="218">
        <v>2</v>
      </c>
      <c r="AJ42" s="218">
        <v>2</v>
      </c>
      <c r="AK42" s="218">
        <f t="shared" si="3"/>
        <v>14.4175</v>
      </c>
      <c r="AL42" s="19">
        <v>2027</v>
      </c>
      <c r="AQ42" s="14"/>
      <c r="AR42" s="14"/>
      <c r="AS42" s="179"/>
      <c r="AT42" s="176"/>
      <c r="AU42" s="176"/>
      <c r="AV42" s="14"/>
      <c r="AW42" s="14"/>
      <c r="AX42" s="14"/>
      <c r="AY42" s="14"/>
      <c r="AZ42" s="14"/>
    </row>
    <row r="43" spans="1:52" ht="46.5" customHeight="1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5"/>
      <c r="P43" s="65"/>
      <c r="Q43" s="65"/>
      <c r="R43" s="65"/>
      <c r="S43" s="65"/>
      <c r="T43" s="65"/>
      <c r="U43" s="66"/>
      <c r="V43" s="66"/>
      <c r="W43" s="66"/>
      <c r="X43" s="39"/>
      <c r="Y43" s="39"/>
      <c r="Z43" s="39"/>
      <c r="AA43" s="39"/>
      <c r="AB43" s="40" t="s">
        <v>73</v>
      </c>
      <c r="AC43" s="9" t="s">
        <v>35</v>
      </c>
      <c r="AD43" s="218">
        <f>0.552+3.9929</f>
        <v>4.5449000000000002</v>
      </c>
      <c r="AE43" s="91">
        <v>2</v>
      </c>
      <c r="AF43" s="91">
        <v>2</v>
      </c>
      <c r="AG43" s="91">
        <v>3.2</v>
      </c>
      <c r="AH43" s="91">
        <v>2</v>
      </c>
      <c r="AI43" s="218">
        <v>2</v>
      </c>
      <c r="AJ43" s="218">
        <v>2</v>
      </c>
      <c r="AK43" s="218">
        <f t="shared" si="3"/>
        <v>17.744900000000001</v>
      </c>
      <c r="AL43" s="19">
        <v>2027</v>
      </c>
      <c r="AQ43" s="14"/>
      <c r="AR43" s="14"/>
      <c r="AS43" s="179"/>
      <c r="AT43" s="176"/>
      <c r="AU43" s="176"/>
      <c r="AV43" s="14"/>
      <c r="AW43" s="14"/>
      <c r="AX43" s="14"/>
      <c r="AY43" s="14"/>
      <c r="AZ43" s="14"/>
    </row>
    <row r="44" spans="1:52" ht="42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1"/>
      <c r="P44" s="211"/>
      <c r="Q44" s="211"/>
      <c r="R44" s="211"/>
      <c r="S44" s="211"/>
      <c r="T44" s="211"/>
      <c r="U44" s="212"/>
      <c r="V44" s="212"/>
      <c r="W44" s="212"/>
      <c r="X44" s="39"/>
      <c r="Y44" s="39"/>
      <c r="Z44" s="39"/>
      <c r="AA44" s="39"/>
      <c r="AB44" s="40" t="s">
        <v>198</v>
      </c>
      <c r="AC44" s="9" t="s">
        <v>35</v>
      </c>
      <c r="AD44" s="218">
        <v>0</v>
      </c>
      <c r="AE44" s="91">
        <v>0</v>
      </c>
      <c r="AF44" s="91">
        <v>0</v>
      </c>
      <c r="AG44" s="91">
        <v>1.3</v>
      </c>
      <c r="AH44" s="91">
        <v>0.5</v>
      </c>
      <c r="AI44" s="218">
        <v>0.5</v>
      </c>
      <c r="AJ44" s="218">
        <v>0.5</v>
      </c>
      <c r="AK44" s="218">
        <f t="shared" si="3"/>
        <v>2.8</v>
      </c>
      <c r="AL44" s="19">
        <v>2027</v>
      </c>
      <c r="AQ44" s="14"/>
      <c r="AR44" s="14"/>
      <c r="AS44" s="179"/>
      <c r="AT44" s="176"/>
      <c r="AU44" s="176"/>
      <c r="AV44" s="14"/>
      <c r="AW44" s="14"/>
      <c r="AX44" s="14"/>
      <c r="AY44" s="14"/>
      <c r="AZ44" s="14"/>
    </row>
    <row r="45" spans="1:52" ht="36" customHeight="1" x14ac:dyDescent="0.25">
      <c r="A45" s="66" t="s">
        <v>21</v>
      </c>
      <c r="B45" s="66" t="s">
        <v>26</v>
      </c>
      <c r="C45" s="66" t="s">
        <v>25</v>
      </c>
      <c r="D45" s="66" t="s">
        <v>21</v>
      </c>
      <c r="E45" s="66" t="s">
        <v>27</v>
      </c>
      <c r="F45" s="66" t="s">
        <v>21</v>
      </c>
      <c r="G45" s="66" t="s">
        <v>24</v>
      </c>
      <c r="H45" s="66" t="s">
        <v>21</v>
      </c>
      <c r="I45" s="66" t="s">
        <v>22</v>
      </c>
      <c r="J45" s="66" t="s">
        <v>23</v>
      </c>
      <c r="K45" s="66" t="s">
        <v>21</v>
      </c>
      <c r="L45" s="66" t="s">
        <v>23</v>
      </c>
      <c r="M45" s="85" t="s">
        <v>124</v>
      </c>
      <c r="N45" s="85" t="s">
        <v>124</v>
      </c>
      <c r="O45" s="65"/>
      <c r="P45" s="65"/>
      <c r="Q45" s="65"/>
      <c r="R45" s="65"/>
      <c r="S45" s="65"/>
      <c r="T45" s="65" t="s">
        <v>40</v>
      </c>
      <c r="U45" s="66"/>
      <c r="V45" s="66"/>
      <c r="W45" s="66"/>
      <c r="X45" s="39"/>
      <c r="Y45" s="39" t="s">
        <v>124</v>
      </c>
      <c r="Z45" s="39" t="s">
        <v>124</v>
      </c>
      <c r="AA45" s="39" t="s">
        <v>124</v>
      </c>
      <c r="AB45" s="40" t="s">
        <v>56</v>
      </c>
      <c r="AC45" s="9" t="s">
        <v>3</v>
      </c>
      <c r="AD45" s="34">
        <f>22.1+16.5</f>
        <v>38.6</v>
      </c>
      <c r="AE45" s="88">
        <f>40+0.9</f>
        <v>40.9</v>
      </c>
      <c r="AF45" s="88">
        <f>44.6+1.7</f>
        <v>46.300000000000004</v>
      </c>
      <c r="AG45" s="88">
        <v>0</v>
      </c>
      <c r="AH45" s="88">
        <v>0</v>
      </c>
      <c r="AI45" s="88">
        <v>0</v>
      </c>
      <c r="AJ45" s="88">
        <v>0</v>
      </c>
      <c r="AK45" s="88">
        <f t="shared" si="3"/>
        <v>125.80000000000001</v>
      </c>
      <c r="AL45" s="19">
        <v>2027</v>
      </c>
      <c r="AQ45" s="14"/>
      <c r="AR45" s="14"/>
      <c r="AS45" s="176"/>
      <c r="AT45" s="176"/>
      <c r="AU45" s="176"/>
      <c r="AV45" s="14"/>
      <c r="AW45" s="14"/>
      <c r="AX45" s="14"/>
      <c r="AY45" s="14"/>
      <c r="AZ45" s="14"/>
    </row>
    <row r="46" spans="1:52" ht="32.25" customHeight="1" x14ac:dyDescent="0.3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5"/>
      <c r="P46" s="65"/>
      <c r="Q46" s="65"/>
      <c r="R46" s="65"/>
      <c r="S46" s="65"/>
      <c r="T46" s="65"/>
      <c r="U46" s="66"/>
      <c r="V46" s="66"/>
      <c r="W46" s="66"/>
      <c r="X46" s="39"/>
      <c r="Y46" s="39"/>
      <c r="Z46" s="39"/>
      <c r="AA46" s="39"/>
      <c r="AB46" s="86" t="s">
        <v>84</v>
      </c>
      <c r="AC46" s="87" t="s">
        <v>2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  <c r="AI46" s="89">
        <v>0</v>
      </c>
      <c r="AJ46" s="89">
        <v>0</v>
      </c>
      <c r="AK46" s="89">
        <v>0</v>
      </c>
      <c r="AL46" s="19">
        <v>2027</v>
      </c>
      <c r="AQ46" s="14"/>
      <c r="AR46" s="14"/>
      <c r="AS46" s="183"/>
      <c r="AT46" s="176"/>
      <c r="AU46" s="176"/>
      <c r="AV46" s="14"/>
      <c r="AW46" s="14"/>
      <c r="AX46" s="14"/>
      <c r="AY46" s="14"/>
      <c r="AZ46" s="14"/>
    </row>
    <row r="47" spans="1:52" ht="45" customHeight="1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5"/>
      <c r="P47" s="65"/>
      <c r="Q47" s="65"/>
      <c r="R47" s="65"/>
      <c r="S47" s="65"/>
      <c r="T47" s="65"/>
      <c r="U47" s="66"/>
      <c r="V47" s="66"/>
      <c r="W47" s="66"/>
      <c r="X47" s="39"/>
      <c r="Y47" s="39"/>
      <c r="Z47" s="39"/>
      <c r="AA47" s="39"/>
      <c r="AB47" s="86" t="s">
        <v>81</v>
      </c>
      <c r="AC47" s="87" t="s">
        <v>7</v>
      </c>
      <c r="AD47" s="89">
        <v>100</v>
      </c>
      <c r="AE47" s="89">
        <v>100</v>
      </c>
      <c r="AF47" s="89">
        <v>100</v>
      </c>
      <c r="AG47" s="89">
        <v>100</v>
      </c>
      <c r="AH47" s="89">
        <v>100</v>
      </c>
      <c r="AI47" s="89">
        <v>100</v>
      </c>
      <c r="AJ47" s="89">
        <v>100</v>
      </c>
      <c r="AK47" s="89">
        <v>100</v>
      </c>
      <c r="AL47" s="19">
        <v>2027</v>
      </c>
      <c r="AQ47" s="14"/>
      <c r="AR47" s="14"/>
      <c r="AS47" s="14"/>
      <c r="AT47" s="176"/>
      <c r="AU47" s="176"/>
      <c r="AV47" s="14"/>
      <c r="AW47" s="14"/>
      <c r="AX47" s="14"/>
      <c r="AY47" s="14"/>
      <c r="AZ47" s="14"/>
    </row>
    <row r="48" spans="1:52" ht="36" customHeight="1" x14ac:dyDescent="0.25">
      <c r="A48" s="66" t="s">
        <v>21</v>
      </c>
      <c r="B48" s="66" t="s">
        <v>26</v>
      </c>
      <c r="C48" s="66" t="s">
        <v>25</v>
      </c>
      <c r="D48" s="66" t="s">
        <v>21</v>
      </c>
      <c r="E48" s="66" t="s">
        <v>27</v>
      </c>
      <c r="F48" s="66" t="s">
        <v>21</v>
      </c>
      <c r="G48" s="66" t="s">
        <v>24</v>
      </c>
      <c r="H48" s="66" t="s">
        <v>21</v>
      </c>
      <c r="I48" s="66" t="s">
        <v>22</v>
      </c>
      <c r="J48" s="66" t="s">
        <v>23</v>
      </c>
      <c r="K48" s="66" t="s">
        <v>21</v>
      </c>
      <c r="L48" s="66" t="s">
        <v>23</v>
      </c>
      <c r="M48" s="85" t="s">
        <v>124</v>
      </c>
      <c r="N48" s="85" t="s">
        <v>124</v>
      </c>
      <c r="O48" s="65"/>
      <c r="P48" s="65"/>
      <c r="Q48" s="65"/>
      <c r="R48" s="65"/>
      <c r="S48" s="65"/>
      <c r="T48" s="65" t="s">
        <v>40</v>
      </c>
      <c r="U48" s="66"/>
      <c r="V48" s="66"/>
      <c r="W48" s="66"/>
      <c r="X48" s="39"/>
      <c r="Y48" s="39" t="s">
        <v>124</v>
      </c>
      <c r="Z48" s="39" t="s">
        <v>124</v>
      </c>
      <c r="AA48" s="39" t="s">
        <v>124</v>
      </c>
      <c r="AB48" s="40" t="s">
        <v>79</v>
      </c>
      <c r="AC48" s="9" t="s">
        <v>3</v>
      </c>
      <c r="AD48" s="34">
        <f>1069.8+60+53</f>
        <v>1182.8</v>
      </c>
      <c r="AE48" s="88">
        <f>1165.4+51.3+74.6</f>
        <v>1291.3</v>
      </c>
      <c r="AF48" s="88">
        <f>1326.7-1.7</f>
        <v>1325</v>
      </c>
      <c r="AG48" s="88">
        <v>1456.3</v>
      </c>
      <c r="AH48" s="88">
        <v>1525</v>
      </c>
      <c r="AI48" s="88">
        <v>1525</v>
      </c>
      <c r="AJ48" s="88">
        <v>1525</v>
      </c>
      <c r="AK48" s="88">
        <f>SUM(AD48:AJ48)</f>
        <v>9830.4</v>
      </c>
      <c r="AL48" s="19">
        <v>2027</v>
      </c>
      <c r="AQ48" s="14"/>
      <c r="AR48" s="14"/>
      <c r="AS48" s="14"/>
      <c r="AT48" s="176"/>
      <c r="AU48" s="176"/>
      <c r="AV48" s="14"/>
      <c r="AW48" s="14"/>
      <c r="AX48" s="14"/>
      <c r="AY48" s="14"/>
      <c r="AZ48" s="14"/>
    </row>
    <row r="49" spans="1:52" ht="32.2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5"/>
      <c r="P49" s="65"/>
      <c r="Q49" s="65"/>
      <c r="R49" s="65"/>
      <c r="S49" s="65"/>
      <c r="T49" s="65"/>
      <c r="U49" s="66"/>
      <c r="V49" s="66"/>
      <c r="W49" s="66"/>
      <c r="X49" s="39"/>
      <c r="Y49" s="39"/>
      <c r="Z49" s="39"/>
      <c r="AA49" s="39"/>
      <c r="AB49" s="40" t="s">
        <v>117</v>
      </c>
      <c r="AC49" s="9" t="s">
        <v>2</v>
      </c>
      <c r="AD49" s="19">
        <v>0</v>
      </c>
      <c r="AE49" s="89">
        <v>0</v>
      </c>
      <c r="AF49" s="89">
        <v>0</v>
      </c>
      <c r="AG49" s="89">
        <v>0</v>
      </c>
      <c r="AH49" s="89">
        <v>0</v>
      </c>
      <c r="AI49" s="19">
        <v>0</v>
      </c>
      <c r="AJ49" s="19">
        <v>0</v>
      </c>
      <c r="AK49" s="19">
        <v>0</v>
      </c>
      <c r="AL49" s="19">
        <v>2027</v>
      </c>
      <c r="AQ49" s="14"/>
      <c r="AR49" s="14"/>
      <c r="AS49" s="14"/>
      <c r="AT49" s="176"/>
      <c r="AU49" s="176"/>
      <c r="AV49" s="14"/>
      <c r="AW49" s="14"/>
      <c r="AX49" s="14"/>
      <c r="AY49" s="14"/>
      <c r="AZ49" s="14"/>
    </row>
    <row r="50" spans="1:52" ht="46.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5"/>
      <c r="P50" s="65"/>
      <c r="Q50" s="65"/>
      <c r="R50" s="65"/>
      <c r="S50" s="65"/>
      <c r="T50" s="65"/>
      <c r="U50" s="66"/>
      <c r="V50" s="66"/>
      <c r="W50" s="66"/>
      <c r="X50" s="39"/>
      <c r="Y50" s="39"/>
      <c r="Z50" s="39"/>
      <c r="AA50" s="39"/>
      <c r="AB50" s="40" t="s">
        <v>82</v>
      </c>
      <c r="AC50" s="9" t="s">
        <v>7</v>
      </c>
      <c r="AD50" s="19">
        <v>100</v>
      </c>
      <c r="AE50" s="89">
        <v>100</v>
      </c>
      <c r="AF50" s="89">
        <v>100</v>
      </c>
      <c r="AG50" s="89">
        <v>100</v>
      </c>
      <c r="AH50" s="89">
        <v>100</v>
      </c>
      <c r="AI50" s="19">
        <v>100</v>
      </c>
      <c r="AJ50" s="19">
        <v>100</v>
      </c>
      <c r="AK50" s="19">
        <v>100</v>
      </c>
      <c r="AL50" s="19">
        <v>2027</v>
      </c>
      <c r="AQ50" s="14"/>
      <c r="AR50" s="14"/>
      <c r="AS50" s="14"/>
      <c r="AT50" s="176"/>
      <c r="AU50" s="176"/>
      <c r="AV50" s="14"/>
      <c r="AW50" s="14"/>
      <c r="AX50" s="14"/>
      <c r="AY50" s="14"/>
      <c r="AZ50" s="14"/>
    </row>
    <row r="51" spans="1:52" s="116" customFormat="1" ht="45.75" customHeight="1" x14ac:dyDescent="0.25">
      <c r="A51" s="117" t="s">
        <v>21</v>
      </c>
      <c r="B51" s="117" t="s">
        <v>26</v>
      </c>
      <c r="C51" s="117" t="s">
        <v>25</v>
      </c>
      <c r="D51" s="117" t="s">
        <v>21</v>
      </c>
      <c r="E51" s="117" t="s">
        <v>27</v>
      </c>
      <c r="F51" s="117" t="s">
        <v>21</v>
      </c>
      <c r="G51" s="117" t="s">
        <v>24</v>
      </c>
      <c r="H51" s="117" t="s">
        <v>21</v>
      </c>
      <c r="I51" s="117" t="s">
        <v>22</v>
      </c>
      <c r="J51" s="117" t="s">
        <v>23</v>
      </c>
      <c r="K51" s="117" t="s">
        <v>21</v>
      </c>
      <c r="L51" s="117" t="s">
        <v>23</v>
      </c>
      <c r="M51" s="117" t="s">
        <v>124</v>
      </c>
      <c r="N51" s="117" t="s">
        <v>124</v>
      </c>
      <c r="O51" s="117"/>
      <c r="P51" s="117"/>
      <c r="Q51" s="117"/>
      <c r="R51" s="117"/>
      <c r="S51" s="117"/>
      <c r="T51" s="117" t="s">
        <v>153</v>
      </c>
      <c r="U51" s="117"/>
      <c r="V51" s="117"/>
      <c r="W51" s="117"/>
      <c r="X51" s="117"/>
      <c r="Y51" s="117" t="s">
        <v>124</v>
      </c>
      <c r="Z51" s="117" t="s">
        <v>124</v>
      </c>
      <c r="AA51" s="117" t="s">
        <v>124</v>
      </c>
      <c r="AB51" s="86" t="s">
        <v>160</v>
      </c>
      <c r="AC51" s="87" t="s">
        <v>3</v>
      </c>
      <c r="AD51" s="88">
        <v>0</v>
      </c>
      <c r="AE51" s="88">
        <v>0</v>
      </c>
      <c r="AF51" s="88">
        <v>0</v>
      </c>
      <c r="AG51" s="88">
        <v>249.8</v>
      </c>
      <c r="AH51" s="88">
        <v>258</v>
      </c>
      <c r="AI51" s="88">
        <v>258</v>
      </c>
      <c r="AJ51" s="88">
        <v>258</v>
      </c>
      <c r="AK51" s="88">
        <f>SUM(AD51:AJ51)</f>
        <v>1023.8</v>
      </c>
      <c r="AL51" s="19">
        <v>2027</v>
      </c>
      <c r="AN51" s="116">
        <v>267.60000000000002</v>
      </c>
      <c r="AQ51" s="184"/>
      <c r="AR51" s="184"/>
      <c r="AS51" s="184"/>
      <c r="AT51" s="185"/>
      <c r="AU51" s="185"/>
      <c r="AV51" s="184"/>
      <c r="AW51" s="184"/>
      <c r="AX51" s="184"/>
      <c r="AY51" s="184"/>
      <c r="AZ51" s="184"/>
    </row>
    <row r="52" spans="1:52" s="116" customFormat="1" ht="36.75" customHeight="1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8"/>
      <c r="P52" s="118"/>
      <c r="Q52" s="118"/>
      <c r="R52" s="118"/>
      <c r="S52" s="118"/>
      <c r="T52" s="118"/>
      <c r="U52" s="117"/>
      <c r="V52" s="117"/>
      <c r="W52" s="117"/>
      <c r="X52" s="119"/>
      <c r="Y52" s="119"/>
      <c r="Z52" s="119"/>
      <c r="AA52" s="119"/>
      <c r="AB52" s="86" t="s">
        <v>158</v>
      </c>
      <c r="AC52" s="87" t="s">
        <v>35</v>
      </c>
      <c r="AD52" s="88">
        <v>0</v>
      </c>
      <c r="AE52" s="88">
        <v>0</v>
      </c>
      <c r="AF52" s="88">
        <v>0.1</v>
      </c>
      <c r="AG52" s="88">
        <v>0.1</v>
      </c>
      <c r="AH52" s="88">
        <v>0.1</v>
      </c>
      <c r="AI52" s="88">
        <v>0.1</v>
      </c>
      <c r="AJ52" s="88">
        <v>0.1</v>
      </c>
      <c r="AK52" s="88">
        <f>SUM(AD52:AI52)</f>
        <v>0.4</v>
      </c>
      <c r="AL52" s="19">
        <v>2027</v>
      </c>
      <c r="AQ52" s="184"/>
      <c r="AR52" s="184"/>
      <c r="AS52" s="184"/>
      <c r="AT52" s="185"/>
      <c r="AU52" s="185"/>
      <c r="AV52" s="184"/>
      <c r="AW52" s="184"/>
      <c r="AX52" s="184"/>
      <c r="AY52" s="184"/>
      <c r="AZ52" s="184"/>
    </row>
    <row r="53" spans="1:52" s="116" customFormat="1" ht="34.5" customHeight="1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8"/>
      <c r="P53" s="118"/>
      <c r="Q53" s="118"/>
      <c r="R53" s="118"/>
      <c r="S53" s="118"/>
      <c r="T53" s="118"/>
      <c r="U53" s="117"/>
      <c r="V53" s="117"/>
      <c r="W53" s="117"/>
      <c r="X53" s="119"/>
      <c r="Y53" s="119"/>
      <c r="Z53" s="119"/>
      <c r="AA53" s="119"/>
      <c r="AB53" s="86" t="s">
        <v>159</v>
      </c>
      <c r="AC53" s="87" t="s">
        <v>35</v>
      </c>
      <c r="AD53" s="88">
        <v>0</v>
      </c>
      <c r="AE53" s="88">
        <v>0</v>
      </c>
      <c r="AF53" s="88">
        <v>0.1</v>
      </c>
      <c r="AG53" s="88">
        <v>0.1</v>
      </c>
      <c r="AH53" s="88">
        <v>0.1</v>
      </c>
      <c r="AI53" s="88">
        <v>0.1</v>
      </c>
      <c r="AJ53" s="88">
        <v>0.1</v>
      </c>
      <c r="AK53" s="88">
        <f>SUM(AD53:AI53)</f>
        <v>0.4</v>
      </c>
      <c r="AL53" s="19">
        <v>2027</v>
      </c>
      <c r="AQ53" s="184"/>
      <c r="AR53" s="184"/>
      <c r="AS53" s="184"/>
      <c r="AT53" s="185"/>
      <c r="AU53" s="185"/>
      <c r="AV53" s="184"/>
      <c r="AW53" s="184"/>
      <c r="AX53" s="184"/>
      <c r="AY53" s="184"/>
      <c r="AZ53" s="184"/>
    </row>
    <row r="54" spans="1:52" ht="42.75" customHeight="1" x14ac:dyDescent="0.25">
      <c r="A54" s="57"/>
      <c r="B54" s="57"/>
      <c r="C54" s="57"/>
      <c r="D54" s="57"/>
      <c r="E54" s="57"/>
      <c r="F54" s="57"/>
      <c r="G54" s="57"/>
      <c r="H54" s="57" t="s">
        <v>21</v>
      </c>
      <c r="I54" s="57" t="s">
        <v>22</v>
      </c>
      <c r="J54" s="57" t="s">
        <v>23</v>
      </c>
      <c r="K54" s="57" t="s">
        <v>21</v>
      </c>
      <c r="L54" s="57" t="s">
        <v>24</v>
      </c>
      <c r="M54" s="57" t="s">
        <v>21</v>
      </c>
      <c r="N54" s="57" t="s">
        <v>21</v>
      </c>
      <c r="O54" s="58"/>
      <c r="P54" s="58"/>
      <c r="Q54" s="58"/>
      <c r="R54" s="58"/>
      <c r="S54" s="58" t="s">
        <v>41</v>
      </c>
      <c r="T54" s="58"/>
      <c r="U54" s="57"/>
      <c r="V54" s="57"/>
      <c r="W54" s="57"/>
      <c r="X54" s="59"/>
      <c r="Y54" s="59" t="s">
        <v>21</v>
      </c>
      <c r="Z54" s="59" t="s">
        <v>21</v>
      </c>
      <c r="AA54" s="59" t="s">
        <v>21</v>
      </c>
      <c r="AB54" s="69" t="s">
        <v>85</v>
      </c>
      <c r="AC54" s="60" t="s">
        <v>3</v>
      </c>
      <c r="AD54" s="61">
        <f t="shared" ref="AD54:AI54" si="4">AD59+AD63</f>
        <v>2325.6999999999998</v>
      </c>
      <c r="AE54" s="61">
        <v>903.9</v>
      </c>
      <c r="AF54" s="61">
        <f>AF59</f>
        <v>876.3</v>
      </c>
      <c r="AG54" s="61">
        <f>AG59+AG63</f>
        <v>2094.6000000000004</v>
      </c>
      <c r="AH54" s="61">
        <f t="shared" si="4"/>
        <v>6197.6</v>
      </c>
      <c r="AI54" s="61">
        <f t="shared" si="4"/>
        <v>20919.8</v>
      </c>
      <c r="AJ54" s="61">
        <f>AJ59</f>
        <v>20919.8</v>
      </c>
      <c r="AK54" s="61">
        <f>SUM(AD54:AJ54)</f>
        <v>54237.7</v>
      </c>
      <c r="AL54" s="62">
        <v>2027</v>
      </c>
      <c r="AQ54" s="14"/>
      <c r="AR54" s="14"/>
      <c r="AS54" s="14"/>
      <c r="AT54" s="176"/>
      <c r="AU54" s="176"/>
      <c r="AV54" s="14"/>
      <c r="AW54" s="14"/>
      <c r="AX54" s="14"/>
      <c r="AY54" s="14"/>
      <c r="AZ54" s="14"/>
    </row>
    <row r="55" spans="1:52" ht="55.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5"/>
      <c r="P55" s="17"/>
      <c r="Q55" s="17"/>
      <c r="R55" s="17"/>
      <c r="S55" s="17"/>
      <c r="T55" s="17"/>
      <c r="U55" s="16"/>
      <c r="V55" s="16"/>
      <c r="W55" s="16"/>
      <c r="X55" s="37"/>
      <c r="Y55" s="37"/>
      <c r="Z55" s="37"/>
      <c r="AA55" s="37"/>
      <c r="AB55" s="40" t="s">
        <v>75</v>
      </c>
      <c r="AC55" s="9" t="s">
        <v>2</v>
      </c>
      <c r="AD55" s="19">
        <v>1116</v>
      </c>
      <c r="AE55" s="89">
        <f t="shared" ref="AE55:AI55" si="5">AE64</f>
        <v>948.6</v>
      </c>
      <c r="AF55" s="89">
        <f t="shared" si="5"/>
        <v>948.6</v>
      </c>
      <c r="AG55" s="89">
        <f t="shared" si="5"/>
        <v>948.6</v>
      </c>
      <c r="AH55" s="89">
        <f t="shared" si="5"/>
        <v>948.6</v>
      </c>
      <c r="AI55" s="19">
        <f t="shared" si="5"/>
        <v>806.31</v>
      </c>
      <c r="AJ55" s="19">
        <f>AI55-40</f>
        <v>766.31</v>
      </c>
      <c r="AK55" s="19">
        <f>AI55</f>
        <v>806.31</v>
      </c>
      <c r="AL55" s="19">
        <v>2027</v>
      </c>
      <c r="AN55" s="24">
        <f>AH55-AI55</f>
        <v>142.29000000000008</v>
      </c>
      <c r="AQ55" s="14"/>
      <c r="AR55" s="14"/>
      <c r="AS55" s="14"/>
      <c r="AT55" s="176"/>
      <c r="AU55" s="176"/>
      <c r="AV55" s="14"/>
      <c r="AW55" s="14"/>
      <c r="AX55" s="14"/>
      <c r="AY55" s="14"/>
      <c r="AZ55" s="14"/>
    </row>
    <row r="56" spans="1:52" ht="54.7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5"/>
      <c r="P56" s="17"/>
      <c r="Q56" s="17"/>
      <c r="R56" s="17"/>
      <c r="S56" s="17"/>
      <c r="T56" s="17"/>
      <c r="U56" s="16"/>
      <c r="V56" s="16"/>
      <c r="W56" s="16"/>
      <c r="X56" s="37"/>
      <c r="Y56" s="37"/>
      <c r="Z56" s="37"/>
      <c r="AA56" s="37"/>
      <c r="AB56" s="40" t="s">
        <v>76</v>
      </c>
      <c r="AC56" s="9" t="s">
        <v>2</v>
      </c>
      <c r="AD56" s="19">
        <v>461</v>
      </c>
      <c r="AE56" s="89">
        <v>282.95</v>
      </c>
      <c r="AF56" s="89">
        <v>265.8775</v>
      </c>
      <c r="AG56" s="89">
        <v>249.73174999999998</v>
      </c>
      <c r="AH56" s="89">
        <v>234.46458437499996</v>
      </c>
      <c r="AI56" s="19">
        <v>221</v>
      </c>
      <c r="AJ56" s="19">
        <f>AI56-17</f>
        <v>204</v>
      </c>
      <c r="AK56" s="19">
        <v>221</v>
      </c>
      <c r="AL56" s="19">
        <v>2027</v>
      </c>
      <c r="AN56" s="24">
        <f>AH56-AI56</f>
        <v>13.464584374999959</v>
      </c>
      <c r="AQ56" s="14"/>
      <c r="AR56" s="14"/>
      <c r="AS56" s="14"/>
      <c r="AT56" s="176"/>
      <c r="AU56" s="176"/>
      <c r="AV56" s="14"/>
      <c r="AW56" s="14"/>
      <c r="AX56" s="14"/>
      <c r="AY56" s="14"/>
      <c r="AZ56" s="14"/>
    </row>
    <row r="57" spans="1:52" ht="55.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5"/>
      <c r="P57" s="17"/>
      <c r="Q57" s="17"/>
      <c r="R57" s="17"/>
      <c r="S57" s="17"/>
      <c r="T57" s="17"/>
      <c r="U57" s="16"/>
      <c r="V57" s="16"/>
      <c r="W57" s="16"/>
      <c r="X57" s="37"/>
      <c r="Y57" s="37"/>
      <c r="Z57" s="37"/>
      <c r="AA57" s="37"/>
      <c r="AB57" s="40" t="s">
        <v>77</v>
      </c>
      <c r="AC57" s="9" t="s">
        <v>2</v>
      </c>
      <c r="AD57" s="19">
        <v>0</v>
      </c>
      <c r="AE57" s="89">
        <v>117</v>
      </c>
      <c r="AF57" s="89">
        <v>80</v>
      </c>
      <c r="AG57" s="89">
        <v>50</v>
      </c>
      <c r="AH57" s="89">
        <v>20</v>
      </c>
      <c r="AI57" s="19">
        <v>0</v>
      </c>
      <c r="AJ57" s="19">
        <v>0</v>
      </c>
      <c r="AK57" s="19">
        <v>0</v>
      </c>
      <c r="AL57" s="19">
        <v>2027</v>
      </c>
      <c r="AQ57" s="14"/>
      <c r="AR57" s="14"/>
      <c r="AS57" s="14"/>
      <c r="AT57" s="176"/>
      <c r="AU57" s="176"/>
      <c r="AV57" s="14"/>
      <c r="AW57" s="14"/>
      <c r="AX57" s="14"/>
      <c r="AY57" s="14"/>
      <c r="AZ57" s="14"/>
    </row>
    <row r="58" spans="1:52" ht="55.5" customHeight="1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7"/>
      <c r="P58" s="17"/>
      <c r="Q58" s="17"/>
      <c r="R58" s="17"/>
      <c r="S58" s="17"/>
      <c r="T58" s="17"/>
      <c r="U58" s="16"/>
      <c r="V58" s="16"/>
      <c r="W58" s="16"/>
      <c r="X58" s="37"/>
      <c r="Y58" s="37"/>
      <c r="Z58" s="37"/>
      <c r="AA58" s="37"/>
      <c r="AB58" s="86" t="s">
        <v>78</v>
      </c>
      <c r="AC58" s="87" t="s">
        <v>2</v>
      </c>
      <c r="AD58" s="19">
        <v>1012</v>
      </c>
      <c r="AE58" s="89">
        <f>AD58-1</f>
        <v>1011</v>
      </c>
      <c r="AF58" s="89">
        <f>AE58-1</f>
        <v>1010</v>
      </c>
      <c r="AG58" s="89">
        <f>AF58-1</f>
        <v>1009</v>
      </c>
      <c r="AH58" s="89">
        <f>AG58-1</f>
        <v>1008</v>
      </c>
      <c r="AI58" s="89">
        <f>AH58-1</f>
        <v>1007</v>
      </c>
      <c r="AJ58" s="89">
        <v>1006</v>
      </c>
      <c r="AK58" s="89">
        <f>AI58</f>
        <v>1007</v>
      </c>
      <c r="AL58" s="19">
        <v>2027</v>
      </c>
      <c r="AQ58" s="14"/>
      <c r="AR58" s="14"/>
      <c r="AS58" s="14"/>
      <c r="AT58" s="176"/>
      <c r="AU58" s="176"/>
      <c r="AV58" s="14"/>
      <c r="AW58" s="14"/>
      <c r="AX58" s="14"/>
      <c r="AY58" s="14"/>
      <c r="AZ58" s="14"/>
    </row>
    <row r="59" spans="1:52" ht="35.25" customHeight="1" x14ac:dyDescent="0.25">
      <c r="A59" s="66" t="s">
        <v>21</v>
      </c>
      <c r="B59" s="66" t="s">
        <v>26</v>
      </c>
      <c r="C59" s="66" t="s">
        <v>25</v>
      </c>
      <c r="D59" s="66" t="s">
        <v>21</v>
      </c>
      <c r="E59" s="66" t="s">
        <v>27</v>
      </c>
      <c r="F59" s="66" t="s">
        <v>21</v>
      </c>
      <c r="G59" s="66" t="s">
        <v>24</v>
      </c>
      <c r="H59" s="66" t="s">
        <v>21</v>
      </c>
      <c r="I59" s="66" t="s">
        <v>22</v>
      </c>
      <c r="J59" s="66" t="s">
        <v>23</v>
      </c>
      <c r="K59" s="66" t="s">
        <v>21</v>
      </c>
      <c r="L59" s="66" t="s">
        <v>24</v>
      </c>
      <c r="M59" s="85" t="s">
        <v>124</v>
      </c>
      <c r="N59" s="85" t="s">
        <v>124</v>
      </c>
      <c r="O59" s="65"/>
      <c r="P59" s="65"/>
      <c r="Q59" s="65"/>
      <c r="R59" s="65"/>
      <c r="S59" s="65"/>
      <c r="T59" s="65" t="s">
        <v>42</v>
      </c>
      <c r="U59" s="66"/>
      <c r="V59" s="66"/>
      <c r="W59" s="66"/>
      <c r="X59" s="39"/>
      <c r="Y59" s="39" t="s">
        <v>124</v>
      </c>
      <c r="Z59" s="39" t="s">
        <v>124</v>
      </c>
      <c r="AA59" s="39" t="s">
        <v>124</v>
      </c>
      <c r="AB59" s="40" t="s">
        <v>57</v>
      </c>
      <c r="AC59" s="9" t="s">
        <v>3</v>
      </c>
      <c r="AD59" s="34">
        <v>2325.6999999999998</v>
      </c>
      <c r="AE59" s="91">
        <v>903.9</v>
      </c>
      <c r="AF59" s="88">
        <f>876.3</f>
        <v>876.3</v>
      </c>
      <c r="AG59" s="88">
        <f>739.6+599.8+755.2</f>
        <v>2094.6000000000004</v>
      </c>
      <c r="AH59" s="88">
        <v>6197.6</v>
      </c>
      <c r="AI59" s="88">
        <v>20919.8</v>
      </c>
      <c r="AJ59" s="88">
        <v>20919.8</v>
      </c>
      <c r="AK59" s="88">
        <f>SUM(AD59:AJ59)</f>
        <v>54237.7</v>
      </c>
      <c r="AL59" s="19">
        <v>2027</v>
      </c>
      <c r="AQ59" s="14"/>
      <c r="AR59" s="14"/>
      <c r="AS59" s="14"/>
      <c r="AT59" s="176"/>
      <c r="AU59" s="176"/>
      <c r="AV59" s="14"/>
      <c r="AW59" s="14"/>
      <c r="AX59" s="14"/>
      <c r="AY59" s="14"/>
      <c r="AZ59" s="14"/>
    </row>
    <row r="60" spans="1:52" ht="33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5"/>
      <c r="P60" s="65"/>
      <c r="Q60" s="65"/>
      <c r="R60" s="65"/>
      <c r="S60" s="65"/>
      <c r="T60" s="65"/>
      <c r="U60" s="66"/>
      <c r="V60" s="66"/>
      <c r="W60" s="66"/>
      <c r="X60" s="39"/>
      <c r="Y60" s="39"/>
      <c r="Z60" s="39"/>
      <c r="AA60" s="39"/>
      <c r="AB60" s="86" t="s">
        <v>86</v>
      </c>
      <c r="AC60" s="87" t="s">
        <v>2</v>
      </c>
      <c r="AD60" s="90">
        <v>0</v>
      </c>
      <c r="AE60" s="89">
        <v>0</v>
      </c>
      <c r="AF60" s="90">
        <v>0</v>
      </c>
      <c r="AG60" s="90">
        <v>0</v>
      </c>
      <c r="AH60" s="90">
        <v>0</v>
      </c>
      <c r="AI60" s="90">
        <v>7</v>
      </c>
      <c r="AJ60" s="90">
        <v>0</v>
      </c>
      <c r="AK60" s="90">
        <f>SUM(AD60:AJ60)</f>
        <v>7</v>
      </c>
      <c r="AL60" s="19">
        <v>2027</v>
      </c>
      <c r="AQ60" s="14"/>
      <c r="AR60" s="14"/>
      <c r="AS60" s="14"/>
      <c r="AT60" s="176"/>
      <c r="AU60" s="176"/>
      <c r="AV60" s="14"/>
      <c r="AW60" s="14"/>
      <c r="AX60" s="14"/>
      <c r="AY60" s="14"/>
      <c r="AZ60" s="14"/>
    </row>
    <row r="61" spans="1:52" ht="45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5"/>
      <c r="P61" s="65"/>
      <c r="Q61" s="65"/>
      <c r="R61" s="65"/>
      <c r="S61" s="65"/>
      <c r="T61" s="65"/>
      <c r="U61" s="66"/>
      <c r="V61" s="66"/>
      <c r="W61" s="66"/>
      <c r="X61" s="39"/>
      <c r="Y61" s="39"/>
      <c r="Z61" s="39"/>
      <c r="AA61" s="39"/>
      <c r="AB61" s="86" t="s">
        <v>87</v>
      </c>
      <c r="AC61" s="87" t="s">
        <v>2</v>
      </c>
      <c r="AD61" s="89">
        <v>4</v>
      </c>
      <c r="AE61" s="89">
        <v>11</v>
      </c>
      <c r="AF61" s="89">
        <v>11</v>
      </c>
      <c r="AG61" s="89">
        <v>11</v>
      </c>
      <c r="AH61" s="89">
        <v>12</v>
      </c>
      <c r="AI61" s="89">
        <v>12</v>
      </c>
      <c r="AJ61" s="89">
        <v>12</v>
      </c>
      <c r="AK61" s="89">
        <v>12</v>
      </c>
      <c r="AL61" s="19">
        <v>2027</v>
      </c>
      <c r="AN61" s="10" t="s">
        <v>195</v>
      </c>
      <c r="AQ61" s="14"/>
      <c r="AR61" s="14"/>
      <c r="AS61" s="14"/>
      <c r="AT61" s="176"/>
      <c r="AU61" s="176"/>
      <c r="AV61" s="14"/>
      <c r="AW61" s="14"/>
      <c r="AX61" s="14"/>
      <c r="AY61" s="14"/>
      <c r="AZ61" s="14"/>
    </row>
    <row r="62" spans="1:52" ht="34.5" customHeight="1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4"/>
      <c r="P62" s="94"/>
      <c r="Q62" s="94"/>
      <c r="R62" s="94"/>
      <c r="S62" s="94"/>
      <c r="T62" s="94"/>
      <c r="U62" s="95"/>
      <c r="V62" s="95"/>
      <c r="W62" s="95"/>
      <c r="X62" s="39"/>
      <c r="Y62" s="39"/>
      <c r="Z62" s="39"/>
      <c r="AA62" s="39"/>
      <c r="AB62" s="86" t="s">
        <v>149</v>
      </c>
      <c r="AC62" s="87" t="s">
        <v>35</v>
      </c>
      <c r="AD62" s="18">
        <v>0.34260000000000002</v>
      </c>
      <c r="AE62" s="89">
        <v>0.1</v>
      </c>
      <c r="AF62" s="91">
        <v>0.1</v>
      </c>
      <c r="AG62" s="91">
        <v>0.1</v>
      </c>
      <c r="AH62" s="91">
        <v>0.2</v>
      </c>
      <c r="AI62" s="91">
        <v>0.2</v>
      </c>
      <c r="AJ62" s="91">
        <v>0.2</v>
      </c>
      <c r="AK62" s="91">
        <f>SUM(AD62:AJ62)</f>
        <v>1.2425999999999999</v>
      </c>
      <c r="AL62" s="19">
        <v>2027</v>
      </c>
      <c r="AQ62" s="14"/>
      <c r="AR62" s="14"/>
      <c r="AS62" s="14"/>
      <c r="AT62" s="176"/>
      <c r="AU62" s="176"/>
      <c r="AV62" s="14"/>
      <c r="AW62" s="14"/>
      <c r="AX62" s="14"/>
      <c r="AY62" s="14"/>
      <c r="AZ62" s="14"/>
    </row>
    <row r="63" spans="1:52" s="98" customFormat="1" ht="44.25" hidden="1" customHeight="1" thickBot="1" x14ac:dyDescent="0.3">
      <c r="A63" s="96" t="s">
        <v>21</v>
      </c>
      <c r="B63" s="96" t="s">
        <v>26</v>
      </c>
      <c r="C63" s="96" t="s">
        <v>25</v>
      </c>
      <c r="D63" s="96" t="s">
        <v>21</v>
      </c>
      <c r="E63" s="96" t="s">
        <v>27</v>
      </c>
      <c r="F63" s="96" t="s">
        <v>21</v>
      </c>
      <c r="G63" s="96" t="s">
        <v>24</v>
      </c>
      <c r="H63" s="96" t="s">
        <v>21</v>
      </c>
      <c r="I63" s="96" t="s">
        <v>22</v>
      </c>
      <c r="J63" s="115" t="s">
        <v>23</v>
      </c>
      <c r="K63" s="115" t="s">
        <v>21</v>
      </c>
      <c r="L63" s="115" t="s">
        <v>24</v>
      </c>
      <c r="M63" s="115" t="s">
        <v>124</v>
      </c>
      <c r="N63" s="115" t="s">
        <v>124</v>
      </c>
      <c r="O63" s="114"/>
      <c r="P63" s="114"/>
      <c r="Q63" s="114"/>
      <c r="R63" s="114"/>
      <c r="S63" s="114"/>
      <c r="T63" s="114" t="s">
        <v>154</v>
      </c>
      <c r="U63" s="115"/>
      <c r="V63" s="115"/>
      <c r="W63" s="115"/>
      <c r="X63" s="39"/>
      <c r="Y63" s="39" t="s">
        <v>124</v>
      </c>
      <c r="Z63" s="39" t="s">
        <v>124</v>
      </c>
      <c r="AA63" s="39" t="s">
        <v>124</v>
      </c>
      <c r="AB63" s="153" t="s">
        <v>182</v>
      </c>
      <c r="AC63" s="154" t="s">
        <v>3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/>
      <c r="AK63" s="88">
        <f>SUM(AD63:AI63)</f>
        <v>0</v>
      </c>
      <c r="AL63" s="155">
        <v>2026</v>
      </c>
      <c r="AQ63" s="186"/>
      <c r="AR63" s="186"/>
      <c r="AS63" s="186"/>
      <c r="AT63" s="187"/>
      <c r="AU63" s="188"/>
      <c r="AV63" s="186"/>
      <c r="AW63" s="186"/>
      <c r="AX63" s="186"/>
      <c r="AY63" s="186"/>
      <c r="AZ63" s="186"/>
    </row>
    <row r="64" spans="1:52" s="98" customFormat="1" ht="53.25" hidden="1" customHeight="1" thickBot="1" x14ac:dyDescent="0.3">
      <c r="A64" s="96"/>
      <c r="B64" s="96"/>
      <c r="C64" s="96"/>
      <c r="D64" s="96"/>
      <c r="E64" s="96"/>
      <c r="F64" s="96"/>
      <c r="G64" s="96"/>
      <c r="H64" s="96"/>
      <c r="I64" s="96"/>
      <c r="J64" s="115"/>
      <c r="K64" s="115"/>
      <c r="L64" s="115"/>
      <c r="M64" s="115"/>
      <c r="N64" s="115"/>
      <c r="O64" s="114"/>
      <c r="P64" s="114"/>
      <c r="Q64" s="114"/>
      <c r="R64" s="114"/>
      <c r="S64" s="114"/>
      <c r="T64" s="114"/>
      <c r="U64" s="115"/>
      <c r="V64" s="115"/>
      <c r="W64" s="115"/>
      <c r="X64" s="39"/>
      <c r="Y64" s="39"/>
      <c r="Z64" s="39"/>
      <c r="AA64" s="39"/>
      <c r="AB64" s="156" t="s">
        <v>183</v>
      </c>
      <c r="AC64" s="157" t="s">
        <v>2</v>
      </c>
      <c r="AD64" s="19">
        <v>1116</v>
      </c>
      <c r="AE64" s="89">
        <f>AD64*0.85</f>
        <v>948.6</v>
      </c>
      <c r="AF64" s="89">
        <v>948.6</v>
      </c>
      <c r="AG64" s="89">
        <v>948.6</v>
      </c>
      <c r="AH64" s="89">
        <v>948.6</v>
      </c>
      <c r="AI64" s="19">
        <f>AH64*0.85</f>
        <v>806.31</v>
      </c>
      <c r="AJ64" s="19"/>
      <c r="AK64" s="8">
        <v>806.31</v>
      </c>
      <c r="AL64" s="152">
        <v>2026</v>
      </c>
      <c r="AQ64" s="186"/>
      <c r="AR64" s="186"/>
      <c r="AS64" s="186"/>
      <c r="AT64" s="187"/>
      <c r="AU64" s="187"/>
      <c r="AV64" s="186"/>
      <c r="AW64" s="186"/>
      <c r="AX64" s="186"/>
      <c r="AY64" s="186"/>
      <c r="AZ64" s="186"/>
    </row>
    <row r="65" spans="1:52" s="98" customFormat="1" ht="42.75" hidden="1" customHeight="1" thickBot="1" x14ac:dyDescent="0.3">
      <c r="A65" s="96"/>
      <c r="B65" s="96"/>
      <c r="C65" s="96"/>
      <c r="D65" s="96"/>
      <c r="E65" s="96"/>
      <c r="F65" s="96"/>
      <c r="G65" s="96"/>
      <c r="H65" s="96"/>
      <c r="I65" s="96"/>
      <c r="J65" s="115"/>
      <c r="K65" s="115"/>
      <c r="L65" s="115"/>
      <c r="M65" s="115"/>
      <c r="N65" s="115"/>
      <c r="O65" s="114"/>
      <c r="P65" s="114"/>
      <c r="Q65" s="114"/>
      <c r="R65" s="114"/>
      <c r="S65" s="114"/>
      <c r="T65" s="114"/>
      <c r="U65" s="115"/>
      <c r="V65" s="115"/>
      <c r="W65" s="115"/>
      <c r="X65" s="39"/>
      <c r="Y65" s="39"/>
      <c r="Z65" s="39"/>
      <c r="AA65" s="39"/>
      <c r="AB65" s="156" t="s">
        <v>184</v>
      </c>
      <c r="AC65" s="157" t="s">
        <v>35</v>
      </c>
      <c r="AD65" s="19">
        <v>0</v>
      </c>
      <c r="AE65" s="89">
        <v>0</v>
      </c>
      <c r="AF65" s="89">
        <v>0</v>
      </c>
      <c r="AG65" s="89">
        <v>0</v>
      </c>
      <c r="AH65" s="89">
        <v>0</v>
      </c>
      <c r="AI65" s="19">
        <v>33</v>
      </c>
      <c r="AJ65" s="19"/>
      <c r="AK65" s="19">
        <f>SUM(AD65:AI65)</f>
        <v>33</v>
      </c>
      <c r="AL65" s="152">
        <v>2026</v>
      </c>
      <c r="AQ65" s="186"/>
      <c r="AR65" s="186"/>
      <c r="AS65" s="186"/>
      <c r="AT65" s="187"/>
      <c r="AU65" s="187"/>
      <c r="AV65" s="186"/>
      <c r="AW65" s="186"/>
      <c r="AX65" s="186"/>
      <c r="AY65" s="186"/>
      <c r="AZ65" s="186"/>
    </row>
    <row r="66" spans="1:52" ht="57.75" customHeight="1" x14ac:dyDescent="0.25">
      <c r="A66" s="44"/>
      <c r="B66" s="44"/>
      <c r="C66" s="44"/>
      <c r="D66" s="44"/>
      <c r="E66" s="44"/>
      <c r="F66" s="44"/>
      <c r="G66" s="44"/>
      <c r="H66" s="44" t="s">
        <v>21</v>
      </c>
      <c r="I66" s="44" t="s">
        <v>22</v>
      </c>
      <c r="J66" s="44" t="s">
        <v>24</v>
      </c>
      <c r="K66" s="44" t="s">
        <v>21</v>
      </c>
      <c r="L66" s="44" t="s">
        <v>21</v>
      </c>
      <c r="M66" s="44" t="s">
        <v>21</v>
      </c>
      <c r="N66" s="44" t="s">
        <v>21</v>
      </c>
      <c r="O66" s="45"/>
      <c r="P66" s="45"/>
      <c r="Q66" s="45"/>
      <c r="R66" s="45" t="s">
        <v>43</v>
      </c>
      <c r="S66" s="45"/>
      <c r="T66" s="45"/>
      <c r="U66" s="44"/>
      <c r="V66" s="44"/>
      <c r="W66" s="44"/>
      <c r="X66" s="56"/>
      <c r="Y66" s="56" t="s">
        <v>21</v>
      </c>
      <c r="Z66" s="56" t="s">
        <v>21</v>
      </c>
      <c r="AA66" s="56" t="s">
        <v>21</v>
      </c>
      <c r="AB66" s="46" t="s">
        <v>58</v>
      </c>
      <c r="AC66" s="47" t="s">
        <v>3</v>
      </c>
      <c r="AD66" s="48">
        <f>AD67+AD88</f>
        <v>379444.10000000003</v>
      </c>
      <c r="AE66" s="48">
        <f>AE67+AE88</f>
        <v>286423.39999999997</v>
      </c>
      <c r="AF66" s="48">
        <f t="shared" ref="AF66:AI66" si="6">AF67+AF88</f>
        <v>349513.4</v>
      </c>
      <c r="AG66" s="48">
        <f t="shared" si="6"/>
        <v>282342.39999999997</v>
      </c>
      <c r="AH66" s="48">
        <f t="shared" si="6"/>
        <v>79897.5</v>
      </c>
      <c r="AI66" s="48">
        <f t="shared" si="6"/>
        <v>52506.2</v>
      </c>
      <c r="AJ66" s="48">
        <f>AJ67+AJ88</f>
        <v>71935.100000000006</v>
      </c>
      <c r="AK66" s="48">
        <f>SUM(AD66:AJ66)</f>
        <v>1502062.1</v>
      </c>
      <c r="AL66" s="49">
        <v>2027</v>
      </c>
      <c r="AQ66" s="14"/>
      <c r="AR66" s="14"/>
      <c r="AS66" s="14"/>
      <c r="AT66" s="176"/>
      <c r="AU66" s="176"/>
      <c r="AV66" s="14"/>
      <c r="AW66" s="14"/>
      <c r="AX66" s="14"/>
      <c r="AY66" s="14"/>
      <c r="AZ66" s="14"/>
    </row>
    <row r="67" spans="1:52" ht="51.75" customHeight="1" x14ac:dyDescent="0.25">
      <c r="A67" s="57"/>
      <c r="B67" s="57"/>
      <c r="C67" s="57"/>
      <c r="D67" s="57"/>
      <c r="E67" s="57"/>
      <c r="F67" s="57"/>
      <c r="G67" s="57"/>
      <c r="H67" s="57" t="s">
        <v>21</v>
      </c>
      <c r="I67" s="57" t="s">
        <v>22</v>
      </c>
      <c r="J67" s="57" t="s">
        <v>24</v>
      </c>
      <c r="K67" s="57" t="s">
        <v>21</v>
      </c>
      <c r="L67" s="57" t="s">
        <v>23</v>
      </c>
      <c r="M67" s="57" t="s">
        <v>21</v>
      </c>
      <c r="N67" s="57" t="s">
        <v>21</v>
      </c>
      <c r="O67" s="58"/>
      <c r="P67" s="58"/>
      <c r="Q67" s="58"/>
      <c r="R67" s="58"/>
      <c r="S67" s="58" t="s">
        <v>44</v>
      </c>
      <c r="T67" s="58"/>
      <c r="U67" s="57"/>
      <c r="V67" s="57"/>
      <c r="W67" s="57"/>
      <c r="X67" s="59"/>
      <c r="Y67" s="59" t="s">
        <v>21</v>
      </c>
      <c r="Z67" s="59" t="s">
        <v>21</v>
      </c>
      <c r="AA67" s="59" t="s">
        <v>21</v>
      </c>
      <c r="AB67" s="69" t="s">
        <v>91</v>
      </c>
      <c r="AC67" s="60" t="s">
        <v>11</v>
      </c>
      <c r="AD67" s="61">
        <f>SUM(AD69+AD73+AD71+AD74+AD79)</f>
        <v>379444.10000000003</v>
      </c>
      <c r="AE67" s="61">
        <f>AE73+AE74+AE71+AE79+AE69+AE70</f>
        <v>282823.39999999997</v>
      </c>
      <c r="AF67" s="61">
        <f>AF73+AF74+AF79+AF80</f>
        <v>345663.4</v>
      </c>
      <c r="AG67" s="61">
        <f>AG75+AG76+AG79+AG77+AG85</f>
        <v>279706.8</v>
      </c>
      <c r="AH67" s="61">
        <f>AH79+AH85+AH80</f>
        <v>54311.4</v>
      </c>
      <c r="AI67" s="61">
        <f>AI79+AI80</f>
        <v>44906.2</v>
      </c>
      <c r="AJ67" s="61">
        <f>AJ79+AJ80</f>
        <v>64335.1</v>
      </c>
      <c r="AK67" s="61">
        <f>SUM(AD67:AJ67)</f>
        <v>1451190.4</v>
      </c>
      <c r="AL67" s="62">
        <v>2027</v>
      </c>
      <c r="AQ67" s="14"/>
      <c r="AR67" s="14"/>
      <c r="AS67" s="14"/>
      <c r="AT67" s="176"/>
      <c r="AU67" s="176"/>
      <c r="AV67" s="14"/>
      <c r="AW67" s="14"/>
      <c r="AX67" s="14"/>
      <c r="AY67" s="14"/>
      <c r="AZ67" s="14"/>
    </row>
    <row r="68" spans="1:52" ht="54.75" customHeight="1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5"/>
      <c r="P68" s="65"/>
      <c r="Q68" s="65"/>
      <c r="R68" s="65"/>
      <c r="S68" s="65"/>
      <c r="T68" s="65"/>
      <c r="U68" s="66"/>
      <c r="V68" s="66"/>
      <c r="W68" s="66"/>
      <c r="X68" s="39"/>
      <c r="Y68" s="39"/>
      <c r="Z68" s="39"/>
      <c r="AA68" s="39"/>
      <c r="AB68" s="40" t="s">
        <v>100</v>
      </c>
      <c r="AC68" s="9" t="s">
        <v>2</v>
      </c>
      <c r="AD68" s="19">
        <v>1</v>
      </c>
      <c r="AE68" s="89">
        <v>2</v>
      </c>
      <c r="AF68" s="89">
        <v>2</v>
      </c>
      <c r="AG68" s="89">
        <v>2</v>
      </c>
      <c r="AH68" s="89">
        <v>3</v>
      </c>
      <c r="AI68" s="19">
        <v>3</v>
      </c>
      <c r="AJ68" s="19">
        <v>3</v>
      </c>
      <c r="AK68" s="19">
        <v>3</v>
      </c>
      <c r="AL68" s="19">
        <v>2027</v>
      </c>
      <c r="AQ68" s="14"/>
      <c r="AR68" s="14"/>
      <c r="AS68" s="14"/>
      <c r="AT68" s="176"/>
      <c r="AU68" s="176"/>
      <c r="AV68" s="14"/>
      <c r="AW68" s="14"/>
      <c r="AX68" s="14"/>
      <c r="AY68" s="14"/>
      <c r="AZ68" s="14"/>
    </row>
    <row r="69" spans="1:52" ht="58.5" customHeight="1" x14ac:dyDescent="0.25">
      <c r="A69" s="100" t="s">
        <v>21</v>
      </c>
      <c r="B69" s="100" t="s">
        <v>26</v>
      </c>
      <c r="C69" s="100" t="s">
        <v>25</v>
      </c>
      <c r="D69" s="100" t="s">
        <v>21</v>
      </c>
      <c r="E69" s="100" t="s">
        <v>27</v>
      </c>
      <c r="F69" s="100" t="s">
        <v>21</v>
      </c>
      <c r="G69" s="100" t="s">
        <v>24</v>
      </c>
      <c r="H69" s="100" t="s">
        <v>21</v>
      </c>
      <c r="I69" s="100" t="s">
        <v>22</v>
      </c>
      <c r="J69" s="100" t="s">
        <v>24</v>
      </c>
      <c r="K69" s="100" t="s">
        <v>127</v>
      </c>
      <c r="L69" s="100" t="s">
        <v>27</v>
      </c>
      <c r="M69" s="100" t="s">
        <v>27</v>
      </c>
      <c r="N69" s="100" t="s">
        <v>24</v>
      </c>
      <c r="O69" s="101"/>
      <c r="P69" s="101"/>
      <c r="Q69" s="101"/>
      <c r="R69" s="101"/>
      <c r="S69" s="101"/>
      <c r="T69" s="101"/>
      <c r="U69" s="100"/>
      <c r="V69" s="100"/>
      <c r="W69" s="100"/>
      <c r="X69" s="102"/>
      <c r="Y69" s="102" t="s">
        <v>26</v>
      </c>
      <c r="Z69" s="102" t="s">
        <v>25</v>
      </c>
      <c r="AA69" s="102" t="s">
        <v>24</v>
      </c>
      <c r="AB69" s="40" t="s">
        <v>130</v>
      </c>
      <c r="AC69" s="9" t="s">
        <v>3</v>
      </c>
      <c r="AD69" s="34">
        <v>511.6</v>
      </c>
      <c r="AE69" s="88">
        <v>86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f>SUM(AD69:AJ69)</f>
        <v>597.6</v>
      </c>
      <c r="AL69" s="89">
        <v>2022</v>
      </c>
      <c r="AN69" s="99"/>
      <c r="AQ69" s="14"/>
      <c r="AR69" s="14"/>
      <c r="AS69" s="14"/>
      <c r="AT69" s="176"/>
      <c r="AU69" s="176"/>
      <c r="AV69" s="14"/>
      <c r="AW69" s="14"/>
      <c r="AX69" s="14"/>
      <c r="AY69" s="14"/>
      <c r="AZ69" s="14"/>
    </row>
    <row r="70" spans="1:52" ht="53.25" customHeight="1" x14ac:dyDescent="0.25">
      <c r="A70" s="100" t="s">
        <v>21</v>
      </c>
      <c r="B70" s="100" t="s">
        <v>26</v>
      </c>
      <c r="C70" s="100" t="s">
        <v>25</v>
      </c>
      <c r="D70" s="100" t="s">
        <v>21</v>
      </c>
      <c r="E70" s="100" t="s">
        <v>27</v>
      </c>
      <c r="F70" s="100" t="s">
        <v>21</v>
      </c>
      <c r="G70" s="100" t="s">
        <v>24</v>
      </c>
      <c r="H70" s="100" t="s">
        <v>21</v>
      </c>
      <c r="I70" s="100" t="s">
        <v>22</v>
      </c>
      <c r="J70" s="100" t="s">
        <v>24</v>
      </c>
      <c r="K70" s="100" t="s">
        <v>127</v>
      </c>
      <c r="L70" s="100" t="s">
        <v>27</v>
      </c>
      <c r="M70" s="100" t="s">
        <v>21</v>
      </c>
      <c r="N70" s="100" t="s">
        <v>21</v>
      </c>
      <c r="O70" s="101"/>
      <c r="P70" s="101"/>
      <c r="Q70" s="101"/>
      <c r="R70" s="101"/>
      <c r="S70" s="101"/>
      <c r="T70" s="101"/>
      <c r="U70" s="100"/>
      <c r="V70" s="100"/>
      <c r="W70" s="100"/>
      <c r="X70" s="102"/>
      <c r="Y70" s="102" t="s">
        <v>26</v>
      </c>
      <c r="Z70" s="102" t="s">
        <v>25</v>
      </c>
      <c r="AA70" s="102" t="s">
        <v>24</v>
      </c>
      <c r="AB70" s="40" t="s">
        <v>130</v>
      </c>
      <c r="AC70" s="9" t="s">
        <v>3</v>
      </c>
      <c r="AD70" s="34">
        <v>0</v>
      </c>
      <c r="AE70" s="88">
        <f>(90+10)/1000</f>
        <v>0.1</v>
      </c>
      <c r="AF70" s="88">
        <v>0</v>
      </c>
      <c r="AG70" s="88">
        <v>0</v>
      </c>
      <c r="AH70" s="88">
        <v>0</v>
      </c>
      <c r="AI70" s="88">
        <v>0</v>
      </c>
      <c r="AJ70" s="88">
        <v>0</v>
      </c>
      <c r="AK70" s="88">
        <f>AE70</f>
        <v>0.1</v>
      </c>
      <c r="AL70" s="89">
        <v>2022</v>
      </c>
      <c r="AN70" s="99"/>
      <c r="AQ70" s="14"/>
      <c r="AR70" s="14"/>
      <c r="AS70" s="14"/>
      <c r="AT70" s="176"/>
      <c r="AU70" s="176"/>
      <c r="AV70" s="14"/>
      <c r="AW70" s="14"/>
      <c r="AX70" s="14"/>
      <c r="AY70" s="14"/>
      <c r="AZ70" s="14"/>
    </row>
    <row r="71" spans="1:52" ht="56.25" customHeight="1" x14ac:dyDescent="0.25">
      <c r="A71" s="100" t="s">
        <v>21</v>
      </c>
      <c r="B71" s="100" t="s">
        <v>26</v>
      </c>
      <c r="C71" s="100" t="s">
        <v>25</v>
      </c>
      <c r="D71" s="100" t="s">
        <v>21</v>
      </c>
      <c r="E71" s="100" t="s">
        <v>27</v>
      </c>
      <c r="F71" s="100" t="s">
        <v>21</v>
      </c>
      <c r="G71" s="100" t="s">
        <v>24</v>
      </c>
      <c r="H71" s="100" t="s">
        <v>21</v>
      </c>
      <c r="I71" s="100" t="s">
        <v>22</v>
      </c>
      <c r="J71" s="100" t="s">
        <v>24</v>
      </c>
      <c r="K71" s="100" t="s">
        <v>127</v>
      </c>
      <c r="L71" s="100" t="s">
        <v>27</v>
      </c>
      <c r="M71" s="100" t="s">
        <v>27</v>
      </c>
      <c r="N71" s="100" t="s">
        <v>24</v>
      </c>
      <c r="O71" s="101"/>
      <c r="P71" s="101"/>
      <c r="Q71" s="101"/>
      <c r="R71" s="101"/>
      <c r="S71" s="101"/>
      <c r="T71" s="101"/>
      <c r="U71" s="100"/>
      <c r="V71" s="100"/>
      <c r="W71" s="100"/>
      <c r="X71" s="102"/>
      <c r="Y71" s="102" t="s">
        <v>26</v>
      </c>
      <c r="Z71" s="102" t="s">
        <v>25</v>
      </c>
      <c r="AA71" s="102" t="s">
        <v>24</v>
      </c>
      <c r="AB71" s="40" t="s">
        <v>138</v>
      </c>
      <c r="AC71" s="9" t="s">
        <v>3</v>
      </c>
      <c r="AD71" s="34">
        <f>25371.6+59371.4</f>
        <v>84743</v>
      </c>
      <c r="AE71" s="88">
        <v>14239.6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f>SUM(AD71:AJ71)</f>
        <v>98982.6</v>
      </c>
      <c r="AL71" s="89">
        <v>2022</v>
      </c>
      <c r="AN71" s="99"/>
      <c r="AQ71" s="14"/>
      <c r="AR71" s="14"/>
      <c r="AS71" s="14"/>
      <c r="AT71" s="176"/>
      <c r="AU71" s="176"/>
      <c r="AV71" s="14"/>
      <c r="AW71" s="14"/>
      <c r="AX71" s="14"/>
      <c r="AY71" s="14"/>
      <c r="AZ71" s="14"/>
    </row>
    <row r="72" spans="1:52" ht="35.25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86" t="s">
        <v>128</v>
      </c>
      <c r="AC72" s="87" t="s">
        <v>92</v>
      </c>
      <c r="AD72" s="91">
        <v>4964.2</v>
      </c>
      <c r="AE72" s="91">
        <v>4964.2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91">
        <f>AD72</f>
        <v>4964.2</v>
      </c>
      <c r="AL72" s="89">
        <v>2022</v>
      </c>
      <c r="AQ72" s="14"/>
      <c r="AR72" s="14"/>
      <c r="AS72" s="14"/>
      <c r="AT72" s="176"/>
      <c r="AU72" s="176"/>
      <c r="AV72" s="14"/>
      <c r="AW72" s="14"/>
      <c r="AX72" s="14"/>
      <c r="AY72" s="14"/>
      <c r="AZ72" s="14"/>
    </row>
    <row r="73" spans="1:52" ht="51.75" customHeight="1" x14ac:dyDescent="0.25">
      <c r="A73" s="100" t="s">
        <v>21</v>
      </c>
      <c r="B73" s="100" t="s">
        <v>26</v>
      </c>
      <c r="C73" s="100" t="s">
        <v>25</v>
      </c>
      <c r="D73" s="100" t="s">
        <v>21</v>
      </c>
      <c r="E73" s="100" t="s">
        <v>27</v>
      </c>
      <c r="F73" s="100" t="s">
        <v>21</v>
      </c>
      <c r="G73" s="100" t="s">
        <v>24</v>
      </c>
      <c r="H73" s="100" t="s">
        <v>21</v>
      </c>
      <c r="I73" s="100" t="s">
        <v>22</v>
      </c>
      <c r="J73" s="100" t="s">
        <v>24</v>
      </c>
      <c r="K73" s="100" t="s">
        <v>101</v>
      </c>
      <c r="L73" s="100" t="s">
        <v>22</v>
      </c>
      <c r="M73" s="100" t="s">
        <v>27</v>
      </c>
      <c r="N73" s="100" t="s">
        <v>21</v>
      </c>
      <c r="O73" s="101"/>
      <c r="P73" s="101"/>
      <c r="Q73" s="101"/>
      <c r="R73" s="101"/>
      <c r="S73" s="101"/>
      <c r="T73" s="101"/>
      <c r="U73" s="100"/>
      <c r="V73" s="100"/>
      <c r="W73" s="100"/>
      <c r="X73" s="102"/>
      <c r="Y73" s="102" t="s">
        <v>23</v>
      </c>
      <c r="Z73" s="102" t="s">
        <v>25</v>
      </c>
      <c r="AA73" s="102" t="s">
        <v>23</v>
      </c>
      <c r="AB73" s="40" t="s">
        <v>131</v>
      </c>
      <c r="AC73" s="9" t="s">
        <v>3</v>
      </c>
      <c r="AD73" s="34">
        <f>26.8+1738.3</f>
        <v>1765.1</v>
      </c>
      <c r="AE73" s="88">
        <f>50.8+1560</f>
        <v>1610.8</v>
      </c>
      <c r="AF73" s="88">
        <f>2024.4+7673.5</f>
        <v>9697.9</v>
      </c>
      <c r="AG73" s="88">
        <v>0</v>
      </c>
      <c r="AH73" s="88">
        <v>0</v>
      </c>
      <c r="AI73" s="88">
        <v>0</v>
      </c>
      <c r="AJ73" s="88">
        <v>0</v>
      </c>
      <c r="AK73" s="88">
        <f>AD73+AE73+AF73</f>
        <v>13073.8</v>
      </c>
      <c r="AL73" s="89">
        <v>2023</v>
      </c>
      <c r="AN73" s="99"/>
      <c r="AQ73" s="14"/>
      <c r="AR73" s="14"/>
      <c r="AS73" s="14"/>
      <c r="AT73" s="176"/>
      <c r="AU73" s="176"/>
      <c r="AV73" s="14"/>
      <c r="AW73" s="14"/>
      <c r="AX73" s="14"/>
      <c r="AY73" s="14"/>
      <c r="AZ73" s="14"/>
    </row>
    <row r="74" spans="1:52" ht="60" customHeight="1" x14ac:dyDescent="0.25">
      <c r="A74" s="100" t="s">
        <v>21</v>
      </c>
      <c r="B74" s="100" t="s">
        <v>26</v>
      </c>
      <c r="C74" s="100" t="s">
        <v>25</v>
      </c>
      <c r="D74" s="100" t="s">
        <v>21</v>
      </c>
      <c r="E74" s="100" t="s">
        <v>27</v>
      </c>
      <c r="F74" s="100" t="s">
        <v>21</v>
      </c>
      <c r="G74" s="100" t="s">
        <v>24</v>
      </c>
      <c r="H74" s="100" t="s">
        <v>21</v>
      </c>
      <c r="I74" s="100" t="s">
        <v>22</v>
      </c>
      <c r="J74" s="100" t="s">
        <v>24</v>
      </c>
      <c r="K74" s="100" t="s">
        <v>101</v>
      </c>
      <c r="L74" s="100" t="s">
        <v>22</v>
      </c>
      <c r="M74" s="100" t="s">
        <v>27</v>
      </c>
      <c r="N74" s="100" t="s">
        <v>21</v>
      </c>
      <c r="O74" s="101"/>
      <c r="P74" s="101"/>
      <c r="Q74" s="101"/>
      <c r="R74" s="101"/>
      <c r="S74" s="101"/>
      <c r="T74" s="101"/>
      <c r="U74" s="100"/>
      <c r="V74" s="100"/>
      <c r="W74" s="100"/>
      <c r="X74" s="102"/>
      <c r="Y74" s="102" t="s">
        <v>23</v>
      </c>
      <c r="Z74" s="102" t="s">
        <v>25</v>
      </c>
      <c r="AA74" s="102" t="s">
        <v>23</v>
      </c>
      <c r="AB74" s="40" t="s">
        <v>139</v>
      </c>
      <c r="AC74" s="9" t="s">
        <v>3</v>
      </c>
      <c r="AD74" s="34">
        <f>4427.7+287996.7</f>
        <v>292424.40000000002</v>
      </c>
      <c r="AE74" s="88">
        <f>8406.4+258438.5</f>
        <v>266844.90000000002</v>
      </c>
      <c r="AF74" s="88">
        <v>335380.5</v>
      </c>
      <c r="AG74" s="88">
        <v>0</v>
      </c>
      <c r="AH74" s="88">
        <v>0</v>
      </c>
      <c r="AI74" s="88">
        <v>0</v>
      </c>
      <c r="AJ74" s="88">
        <v>0</v>
      </c>
      <c r="AK74" s="88">
        <f>AD74+AE74+AF74</f>
        <v>894649.8</v>
      </c>
      <c r="AL74" s="89">
        <v>2023</v>
      </c>
      <c r="AQ74" s="14"/>
      <c r="AR74" s="14"/>
      <c r="AS74" s="14"/>
      <c r="AT74" s="176"/>
      <c r="AU74" s="176"/>
      <c r="AV74" s="14"/>
      <c r="AW74" s="14"/>
      <c r="AX74" s="14"/>
      <c r="AY74" s="14"/>
      <c r="AZ74" s="14"/>
    </row>
    <row r="75" spans="1:52" ht="57" customHeight="1" x14ac:dyDescent="0.25">
      <c r="A75" s="100" t="s">
        <v>21</v>
      </c>
      <c r="B75" s="100" t="s">
        <v>26</v>
      </c>
      <c r="C75" s="100" t="s">
        <v>25</v>
      </c>
      <c r="D75" s="100" t="s">
        <v>21</v>
      </c>
      <c r="E75" s="100" t="s">
        <v>22</v>
      </c>
      <c r="F75" s="100" t="s">
        <v>21</v>
      </c>
      <c r="G75" s="100" t="s">
        <v>24</v>
      </c>
      <c r="H75" s="100" t="s">
        <v>21</v>
      </c>
      <c r="I75" s="100" t="s">
        <v>22</v>
      </c>
      <c r="J75" s="100" t="s">
        <v>24</v>
      </c>
      <c r="K75" s="100" t="s">
        <v>101</v>
      </c>
      <c r="L75" s="100" t="s">
        <v>22</v>
      </c>
      <c r="M75" s="100" t="s">
        <v>27</v>
      </c>
      <c r="N75" s="100" t="s">
        <v>21</v>
      </c>
      <c r="O75" s="101"/>
      <c r="P75" s="101"/>
      <c r="Q75" s="101"/>
      <c r="R75" s="101"/>
      <c r="S75" s="101"/>
      <c r="T75" s="101"/>
      <c r="U75" s="100"/>
      <c r="V75" s="100"/>
      <c r="W75" s="100"/>
      <c r="X75" s="102"/>
      <c r="Y75" s="102" t="s">
        <v>23</v>
      </c>
      <c r="Z75" s="102" t="s">
        <v>25</v>
      </c>
      <c r="AA75" s="102" t="s">
        <v>24</v>
      </c>
      <c r="AB75" s="40" t="s">
        <v>131</v>
      </c>
      <c r="AC75" s="9" t="s">
        <v>3</v>
      </c>
      <c r="AD75" s="34">
        <v>0</v>
      </c>
      <c r="AE75" s="34">
        <v>0</v>
      </c>
      <c r="AF75" s="34">
        <v>0</v>
      </c>
      <c r="AG75" s="88">
        <v>1546.4</v>
      </c>
      <c r="AH75" s="88">
        <v>0</v>
      </c>
      <c r="AI75" s="88">
        <v>0</v>
      </c>
      <c r="AJ75" s="88">
        <v>0</v>
      </c>
      <c r="AK75" s="88">
        <f>AG75</f>
        <v>1546.4</v>
      </c>
      <c r="AL75" s="89">
        <v>2024</v>
      </c>
      <c r="AQ75" s="14"/>
      <c r="AR75" s="14"/>
      <c r="AS75" s="14"/>
      <c r="AT75" s="176"/>
      <c r="AU75" s="176"/>
      <c r="AV75" s="14"/>
      <c r="AW75" s="14"/>
      <c r="AX75" s="14"/>
      <c r="AY75" s="14"/>
      <c r="AZ75" s="14"/>
    </row>
    <row r="76" spans="1:52" ht="57" customHeight="1" x14ac:dyDescent="0.25">
      <c r="A76" s="100" t="s">
        <v>21</v>
      </c>
      <c r="B76" s="100" t="s">
        <v>26</v>
      </c>
      <c r="C76" s="100" t="s">
        <v>25</v>
      </c>
      <c r="D76" s="100" t="s">
        <v>21</v>
      </c>
      <c r="E76" s="100" t="s">
        <v>22</v>
      </c>
      <c r="F76" s="100" t="s">
        <v>21</v>
      </c>
      <c r="G76" s="100" t="s">
        <v>24</v>
      </c>
      <c r="H76" s="100" t="s">
        <v>21</v>
      </c>
      <c r="I76" s="100" t="s">
        <v>22</v>
      </c>
      <c r="J76" s="100" t="s">
        <v>24</v>
      </c>
      <c r="K76" s="100" t="s">
        <v>101</v>
      </c>
      <c r="L76" s="100" t="s">
        <v>22</v>
      </c>
      <c r="M76" s="100" t="s">
        <v>27</v>
      </c>
      <c r="N76" s="100" t="s">
        <v>21</v>
      </c>
      <c r="O76" s="101"/>
      <c r="P76" s="101"/>
      <c r="Q76" s="101"/>
      <c r="R76" s="101"/>
      <c r="S76" s="101"/>
      <c r="T76" s="101"/>
      <c r="U76" s="100"/>
      <c r="V76" s="100"/>
      <c r="W76" s="100"/>
      <c r="X76" s="102"/>
      <c r="Y76" s="102" t="s">
        <v>23</v>
      </c>
      <c r="Z76" s="102" t="s">
        <v>25</v>
      </c>
      <c r="AA76" s="102" t="s">
        <v>24</v>
      </c>
      <c r="AB76" s="40" t="s">
        <v>139</v>
      </c>
      <c r="AC76" s="9" t="s">
        <v>3</v>
      </c>
      <c r="AD76" s="34">
        <v>0</v>
      </c>
      <c r="AE76" s="34">
        <v>0</v>
      </c>
      <c r="AF76" s="34">
        <v>0</v>
      </c>
      <c r="AG76" s="88">
        <v>256185.60000000001</v>
      </c>
      <c r="AH76" s="88">
        <v>0</v>
      </c>
      <c r="AI76" s="88">
        <v>0</v>
      </c>
      <c r="AJ76" s="88">
        <v>0</v>
      </c>
      <c r="AK76" s="88">
        <f>AG76</f>
        <v>256185.60000000001</v>
      </c>
      <c r="AL76" s="89">
        <v>2024</v>
      </c>
      <c r="AM76" s="10" t="s">
        <v>137</v>
      </c>
      <c r="AN76" s="99">
        <f>AG76</f>
        <v>256185.60000000001</v>
      </c>
      <c r="AQ76" s="14"/>
      <c r="AR76" s="14"/>
      <c r="AS76" s="14"/>
      <c r="AT76" s="176"/>
      <c r="AU76" s="176"/>
      <c r="AV76" s="14"/>
      <c r="AW76" s="14"/>
      <c r="AX76" s="14"/>
      <c r="AY76" s="14"/>
      <c r="AZ76" s="14"/>
    </row>
    <row r="77" spans="1:52" ht="59.25" customHeight="1" x14ac:dyDescent="0.25">
      <c r="A77" s="100" t="s">
        <v>21</v>
      </c>
      <c r="B77" s="100" t="s">
        <v>26</v>
      </c>
      <c r="C77" s="100" t="s">
        <v>25</v>
      </c>
      <c r="D77" s="100" t="s">
        <v>21</v>
      </c>
      <c r="E77" s="100" t="s">
        <v>22</v>
      </c>
      <c r="F77" s="100" t="s">
        <v>21</v>
      </c>
      <c r="G77" s="100" t="s">
        <v>24</v>
      </c>
      <c r="H77" s="100" t="s">
        <v>21</v>
      </c>
      <c r="I77" s="100" t="s">
        <v>22</v>
      </c>
      <c r="J77" s="100" t="s">
        <v>24</v>
      </c>
      <c r="K77" s="100" t="s">
        <v>101</v>
      </c>
      <c r="L77" s="100" t="s">
        <v>22</v>
      </c>
      <c r="M77" s="100" t="s">
        <v>191</v>
      </c>
      <c r="N77" s="100" t="s">
        <v>21</v>
      </c>
      <c r="O77" s="101"/>
      <c r="P77" s="101"/>
      <c r="Q77" s="101"/>
      <c r="R77" s="101"/>
      <c r="S77" s="101"/>
      <c r="T77" s="101"/>
      <c r="U77" s="100"/>
      <c r="V77" s="100"/>
      <c r="W77" s="100"/>
      <c r="X77" s="102"/>
      <c r="Y77" s="102" t="s">
        <v>23</v>
      </c>
      <c r="Z77" s="102" t="s">
        <v>25</v>
      </c>
      <c r="AA77" s="102" t="s">
        <v>24</v>
      </c>
      <c r="AB77" s="40" t="s">
        <v>190</v>
      </c>
      <c r="AC77" s="9" t="s">
        <v>3</v>
      </c>
      <c r="AD77" s="88">
        <v>0</v>
      </c>
      <c r="AE77" s="88">
        <v>0</v>
      </c>
      <c r="AF77" s="88">
        <v>0</v>
      </c>
      <c r="AG77" s="88">
        <v>6974.8</v>
      </c>
      <c r="AH77" s="88">
        <v>0</v>
      </c>
      <c r="AI77" s="88">
        <v>0</v>
      </c>
      <c r="AJ77" s="88">
        <v>0</v>
      </c>
      <c r="AK77" s="88">
        <f>AG77</f>
        <v>6974.8</v>
      </c>
      <c r="AL77" s="89">
        <v>2024</v>
      </c>
      <c r="AM77" s="10" t="s">
        <v>136</v>
      </c>
      <c r="AN77" s="99">
        <f>AG75+AG77+AG79+AG85+AG92</f>
        <v>26156.800000000003</v>
      </c>
      <c r="AQ77" s="14"/>
      <c r="AR77" s="14"/>
      <c r="AS77" s="14"/>
      <c r="AT77" s="176"/>
      <c r="AU77" s="176"/>
      <c r="AV77" s="14"/>
      <c r="AW77" s="14"/>
      <c r="AX77" s="14"/>
      <c r="AY77" s="14"/>
      <c r="AZ77" s="14"/>
    </row>
    <row r="78" spans="1:52" ht="33.7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5"/>
      <c r="P78" s="75"/>
      <c r="Q78" s="75"/>
      <c r="R78" s="75"/>
      <c r="S78" s="75"/>
      <c r="T78" s="75"/>
      <c r="U78" s="76"/>
      <c r="V78" s="76"/>
      <c r="W78" s="76"/>
      <c r="X78" s="39"/>
      <c r="Y78" s="39"/>
      <c r="Z78" s="39"/>
      <c r="AA78" s="39"/>
      <c r="AB78" s="40" t="s">
        <v>93</v>
      </c>
      <c r="AC78" s="9" t="s">
        <v>94</v>
      </c>
      <c r="AD78" s="89">
        <v>150</v>
      </c>
      <c r="AE78" s="89">
        <v>150</v>
      </c>
      <c r="AF78" s="89">
        <v>150</v>
      </c>
      <c r="AG78" s="89">
        <v>150</v>
      </c>
      <c r="AH78" s="89">
        <v>150</v>
      </c>
      <c r="AI78" s="89">
        <v>150</v>
      </c>
      <c r="AJ78" s="89">
        <v>150</v>
      </c>
      <c r="AK78" s="89">
        <v>150</v>
      </c>
      <c r="AL78" s="89">
        <v>2024</v>
      </c>
      <c r="AQ78" s="14"/>
      <c r="AR78" s="14"/>
      <c r="AS78" s="14"/>
      <c r="AT78" s="176"/>
      <c r="AU78" s="189"/>
      <c r="AV78" s="14"/>
      <c r="AW78" s="14"/>
      <c r="AX78" s="14"/>
      <c r="AY78" s="14"/>
      <c r="AZ78" s="14"/>
    </row>
    <row r="79" spans="1:52" ht="53.25" customHeight="1" x14ac:dyDescent="0.25">
      <c r="A79" s="172" t="s">
        <v>21</v>
      </c>
      <c r="B79" s="172" t="s">
        <v>26</v>
      </c>
      <c r="C79" s="172" t="s">
        <v>25</v>
      </c>
      <c r="D79" s="172" t="s">
        <v>21</v>
      </c>
      <c r="E79" s="172" t="s">
        <v>27</v>
      </c>
      <c r="F79" s="172" t="s">
        <v>21</v>
      </c>
      <c r="G79" s="172" t="s">
        <v>24</v>
      </c>
      <c r="H79" s="172" t="s">
        <v>21</v>
      </c>
      <c r="I79" s="172" t="s">
        <v>22</v>
      </c>
      <c r="J79" s="172" t="s">
        <v>24</v>
      </c>
      <c r="K79" s="172" t="s">
        <v>21</v>
      </c>
      <c r="L79" s="172" t="s">
        <v>23</v>
      </c>
      <c r="M79" s="172" t="s">
        <v>21</v>
      </c>
      <c r="N79" s="172" t="s">
        <v>21</v>
      </c>
      <c r="O79" s="173"/>
      <c r="P79" s="173"/>
      <c r="Q79" s="173"/>
      <c r="R79" s="173"/>
      <c r="S79" s="173"/>
      <c r="T79" s="173"/>
      <c r="U79" s="172"/>
      <c r="V79" s="172"/>
      <c r="W79" s="172"/>
      <c r="X79" s="174"/>
      <c r="Y79" s="174" t="s">
        <v>23</v>
      </c>
      <c r="Z79" s="174" t="s">
        <v>24</v>
      </c>
      <c r="AA79" s="174" t="s">
        <v>23</v>
      </c>
      <c r="AB79" s="108" t="s">
        <v>186</v>
      </c>
      <c r="AC79" s="87" t="s">
        <v>3</v>
      </c>
      <c r="AD79" s="88">
        <v>0</v>
      </c>
      <c r="AE79" s="88">
        <v>42</v>
      </c>
      <c r="AF79" s="88">
        <v>585</v>
      </c>
      <c r="AG79" s="88">
        <f>54349.3-42365-1784.3</f>
        <v>10200.000000000004</v>
      </c>
      <c r="AH79" s="88">
        <v>0</v>
      </c>
      <c r="AI79" s="88">
        <v>0</v>
      </c>
      <c r="AJ79" s="88">
        <v>0</v>
      </c>
      <c r="AK79" s="88">
        <f>SUM(AD79:AJ79)</f>
        <v>10827.000000000004</v>
      </c>
      <c r="AL79" s="19">
        <v>2024</v>
      </c>
      <c r="AQ79" s="14"/>
      <c r="AR79" s="14"/>
      <c r="AS79" s="14"/>
      <c r="AT79" s="176"/>
      <c r="AU79" s="14"/>
      <c r="AV79" s="14"/>
      <c r="AW79" s="14"/>
      <c r="AX79" s="14"/>
      <c r="AY79" s="14"/>
      <c r="AZ79" s="14"/>
    </row>
    <row r="80" spans="1:52" ht="54" customHeight="1" x14ac:dyDescent="0.25">
      <c r="A80" s="169" t="s">
        <v>21</v>
      </c>
      <c r="B80" s="169" t="s">
        <v>26</v>
      </c>
      <c r="C80" s="169" t="s">
        <v>25</v>
      </c>
      <c r="D80" s="169" t="s">
        <v>21</v>
      </c>
      <c r="E80" s="169" t="s">
        <v>27</v>
      </c>
      <c r="F80" s="169" t="s">
        <v>21</v>
      </c>
      <c r="G80" s="169" t="s">
        <v>24</v>
      </c>
      <c r="H80" s="169" t="s">
        <v>21</v>
      </c>
      <c r="I80" s="169" t="s">
        <v>22</v>
      </c>
      <c r="J80" s="169" t="s">
        <v>24</v>
      </c>
      <c r="K80" s="169" t="s">
        <v>21</v>
      </c>
      <c r="L80" s="169" t="s">
        <v>23</v>
      </c>
      <c r="M80" s="169" t="s">
        <v>125</v>
      </c>
      <c r="N80" s="169" t="s">
        <v>21</v>
      </c>
      <c r="O80" s="168"/>
      <c r="P80" s="168"/>
      <c r="Q80" s="168"/>
      <c r="R80" s="168"/>
      <c r="S80" s="168"/>
      <c r="T80" s="168"/>
      <c r="U80" s="169"/>
      <c r="V80" s="169"/>
      <c r="W80" s="169"/>
      <c r="X80" s="39"/>
      <c r="Y80" s="39" t="s">
        <v>23</v>
      </c>
      <c r="Z80" s="39" t="s">
        <v>24</v>
      </c>
      <c r="AA80" s="39" t="s">
        <v>23</v>
      </c>
      <c r="AB80" s="40" t="s">
        <v>156</v>
      </c>
      <c r="AC80" s="87" t="s">
        <v>3</v>
      </c>
      <c r="AD80" s="88">
        <v>0</v>
      </c>
      <c r="AE80" s="88">
        <v>0</v>
      </c>
      <c r="AF80" s="88">
        <v>0</v>
      </c>
      <c r="AG80" s="88">
        <v>0</v>
      </c>
      <c r="AH80" s="88">
        <v>4911.3999999999996</v>
      </c>
      <c r="AI80" s="88">
        <v>44906.2</v>
      </c>
      <c r="AJ80" s="88">
        <v>64335.1</v>
      </c>
      <c r="AK80" s="88">
        <f>SUM(AD80:AJ80)</f>
        <v>114152.7</v>
      </c>
      <c r="AL80" s="19">
        <v>2027</v>
      </c>
      <c r="AQ80" s="14"/>
      <c r="AR80" s="14"/>
      <c r="AS80" s="14"/>
      <c r="AT80" s="176"/>
      <c r="AU80" s="14"/>
      <c r="AV80" s="14"/>
      <c r="AW80" s="14"/>
      <c r="AX80" s="14"/>
      <c r="AY80" s="14"/>
      <c r="AZ80" s="14"/>
    </row>
    <row r="81" spans="1:52" ht="40.5" customHeight="1" x14ac:dyDescent="0.2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2"/>
      <c r="P81" s="92"/>
      <c r="Q81" s="92"/>
      <c r="R81" s="92"/>
      <c r="S81" s="92"/>
      <c r="T81" s="92"/>
      <c r="U81" s="93"/>
      <c r="V81" s="93"/>
      <c r="W81" s="93"/>
      <c r="X81" s="39"/>
      <c r="Y81" s="39"/>
      <c r="Z81" s="39"/>
      <c r="AA81" s="39"/>
      <c r="AB81" s="40" t="s">
        <v>157</v>
      </c>
      <c r="AC81" s="9" t="s">
        <v>132</v>
      </c>
      <c r="AD81" s="19">
        <v>0</v>
      </c>
      <c r="AE81" s="89">
        <v>0</v>
      </c>
      <c r="AF81" s="89">
        <v>0</v>
      </c>
      <c r="AG81" s="89">
        <v>1</v>
      </c>
      <c r="AH81" s="89">
        <v>1</v>
      </c>
      <c r="AI81" s="19">
        <v>0</v>
      </c>
      <c r="AJ81" s="19">
        <v>0</v>
      </c>
      <c r="AK81" s="19">
        <f>SUM(AD81:AJ81)</f>
        <v>2</v>
      </c>
      <c r="AL81" s="19">
        <v>2027</v>
      </c>
      <c r="AQ81" s="14"/>
      <c r="AR81" s="14"/>
      <c r="AS81" s="14"/>
      <c r="AT81" s="176"/>
      <c r="AU81" s="14"/>
      <c r="AV81" s="14"/>
      <c r="AW81" s="14"/>
      <c r="AX81" s="14"/>
      <c r="AY81" s="14"/>
      <c r="AZ81" s="14"/>
    </row>
    <row r="82" spans="1:52" ht="58.5" customHeight="1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2"/>
      <c r="P82" s="92"/>
      <c r="Q82" s="92"/>
      <c r="R82" s="92"/>
      <c r="S82" s="92"/>
      <c r="T82" s="92"/>
      <c r="U82" s="93"/>
      <c r="V82" s="93"/>
      <c r="W82" s="93"/>
      <c r="X82" s="39"/>
      <c r="Y82" s="39"/>
      <c r="Z82" s="39"/>
      <c r="AA82" s="39"/>
      <c r="AB82" s="40" t="s">
        <v>150</v>
      </c>
      <c r="AC82" s="9" t="s">
        <v>132</v>
      </c>
      <c r="AD82" s="19">
        <v>0</v>
      </c>
      <c r="AE82" s="89">
        <v>0</v>
      </c>
      <c r="AF82" s="89">
        <v>1823</v>
      </c>
      <c r="AG82" s="89">
        <v>1823</v>
      </c>
      <c r="AH82" s="89">
        <v>1823</v>
      </c>
      <c r="AI82" s="89">
        <v>1823</v>
      </c>
      <c r="AJ82" s="89">
        <v>1823</v>
      </c>
      <c r="AK82" s="89">
        <v>1823</v>
      </c>
      <c r="AL82" s="19">
        <v>2027</v>
      </c>
      <c r="AQ82" s="14"/>
      <c r="AR82" s="14"/>
      <c r="AS82" s="14"/>
      <c r="AT82" s="176"/>
      <c r="AU82" s="14"/>
      <c r="AV82" s="14"/>
      <c r="AW82" s="14"/>
      <c r="AX82" s="14"/>
      <c r="AY82" s="14"/>
      <c r="AZ82" s="14"/>
    </row>
    <row r="83" spans="1:52" ht="44.25" customHeight="1" x14ac:dyDescent="0.2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0"/>
      <c r="P83" s="120"/>
      <c r="Q83" s="120"/>
      <c r="R83" s="120"/>
      <c r="S83" s="120"/>
      <c r="T83" s="120"/>
      <c r="U83" s="121"/>
      <c r="V83" s="121"/>
      <c r="W83" s="121"/>
      <c r="X83" s="39"/>
      <c r="Y83" s="39"/>
      <c r="Z83" s="39"/>
      <c r="AA83" s="39"/>
      <c r="AB83" s="40" t="s">
        <v>155</v>
      </c>
      <c r="AC83" s="9" t="s">
        <v>132</v>
      </c>
      <c r="AD83" s="19">
        <v>0</v>
      </c>
      <c r="AE83" s="89">
        <v>0</v>
      </c>
      <c r="AF83" s="89">
        <v>9</v>
      </c>
      <c r="AG83" s="89">
        <v>0</v>
      </c>
      <c r="AH83" s="89">
        <v>0</v>
      </c>
      <c r="AI83" s="19">
        <v>0</v>
      </c>
      <c r="AJ83" s="19">
        <v>0</v>
      </c>
      <c r="AK83" s="19">
        <v>9</v>
      </c>
      <c r="AL83" s="19">
        <v>2023</v>
      </c>
      <c r="AQ83" s="14"/>
      <c r="AR83" s="14"/>
      <c r="AS83" s="14"/>
      <c r="AT83" s="176"/>
      <c r="AU83" s="14"/>
      <c r="AV83" s="14"/>
      <c r="AW83" s="14"/>
      <c r="AX83" s="14"/>
      <c r="AY83" s="14"/>
      <c r="AZ83" s="14"/>
    </row>
    <row r="84" spans="1:52" ht="30.75" customHeight="1" x14ac:dyDescent="0.25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0"/>
      <c r="P84" s="150"/>
      <c r="Q84" s="150"/>
      <c r="R84" s="150"/>
      <c r="S84" s="150"/>
      <c r="T84" s="150"/>
      <c r="U84" s="151"/>
      <c r="V84" s="151"/>
      <c r="W84" s="151"/>
      <c r="X84" s="39"/>
      <c r="Y84" s="39"/>
      <c r="Z84" s="39"/>
      <c r="AA84" s="39"/>
      <c r="AB84" s="108" t="s">
        <v>187</v>
      </c>
      <c r="AC84" s="175" t="s">
        <v>7</v>
      </c>
      <c r="AD84" s="19">
        <v>0</v>
      </c>
      <c r="AE84" s="89">
        <v>0</v>
      </c>
      <c r="AF84" s="89">
        <v>0</v>
      </c>
      <c r="AG84" s="89">
        <v>0</v>
      </c>
      <c r="AH84" s="89">
        <v>2</v>
      </c>
      <c r="AI84" s="19">
        <v>2</v>
      </c>
      <c r="AJ84" s="19">
        <v>2</v>
      </c>
      <c r="AK84" s="89">
        <f>6</f>
        <v>6</v>
      </c>
      <c r="AL84" s="19">
        <v>2027</v>
      </c>
      <c r="AQ84" s="14"/>
      <c r="AR84" s="14"/>
      <c r="AS84" s="14"/>
      <c r="AT84" s="176"/>
      <c r="AU84" s="14"/>
      <c r="AV84" s="14"/>
      <c r="AW84" s="14"/>
      <c r="AX84" s="14"/>
      <c r="AY84" s="14"/>
      <c r="AZ84" s="14"/>
    </row>
    <row r="85" spans="1:52" ht="33.75" customHeight="1" x14ac:dyDescent="0.25">
      <c r="A85" s="214" t="s">
        <v>21</v>
      </c>
      <c r="B85" s="214" t="s">
        <v>26</v>
      </c>
      <c r="C85" s="214" t="s">
        <v>25</v>
      </c>
      <c r="D85" s="214" t="s">
        <v>21</v>
      </c>
      <c r="E85" s="214" t="s">
        <v>27</v>
      </c>
      <c r="F85" s="214" t="s">
        <v>21</v>
      </c>
      <c r="G85" s="214" t="s">
        <v>24</v>
      </c>
      <c r="H85" s="214" t="s">
        <v>21</v>
      </c>
      <c r="I85" s="214" t="s">
        <v>22</v>
      </c>
      <c r="J85" s="214" t="s">
        <v>24</v>
      </c>
      <c r="K85" s="214" t="s">
        <v>21</v>
      </c>
      <c r="L85" s="214" t="s">
        <v>23</v>
      </c>
      <c r="M85" s="214" t="s">
        <v>21</v>
      </c>
      <c r="N85" s="214" t="s">
        <v>21</v>
      </c>
      <c r="O85" s="215"/>
      <c r="P85" s="215"/>
      <c r="Q85" s="215"/>
      <c r="R85" s="215"/>
      <c r="S85" s="215"/>
      <c r="T85" s="215"/>
      <c r="U85" s="214"/>
      <c r="V85" s="214"/>
      <c r="W85" s="214"/>
      <c r="X85" s="216"/>
      <c r="Y85" s="216" t="s">
        <v>21</v>
      </c>
      <c r="Z85" s="216" t="s">
        <v>26</v>
      </c>
      <c r="AA85" s="216" t="s">
        <v>126</v>
      </c>
      <c r="AB85" s="219" t="s">
        <v>199</v>
      </c>
      <c r="AC85" s="87" t="s">
        <v>3</v>
      </c>
      <c r="AD85" s="218">
        <v>0</v>
      </c>
      <c r="AE85" s="91">
        <v>0</v>
      </c>
      <c r="AF85" s="91">
        <v>0</v>
      </c>
      <c r="AG85" s="88">
        <v>4800</v>
      </c>
      <c r="AH85" s="88">
        <v>49400</v>
      </c>
      <c r="AI85" s="88">
        <v>0</v>
      </c>
      <c r="AJ85" s="88">
        <v>0</v>
      </c>
      <c r="AK85" s="88">
        <f>SUM(AD85:AJ85)</f>
        <v>54200</v>
      </c>
      <c r="AL85" s="19">
        <v>2025</v>
      </c>
      <c r="AQ85" s="14"/>
      <c r="AR85" s="14"/>
      <c r="AS85" s="14"/>
      <c r="AT85" s="176"/>
      <c r="AU85" s="14"/>
      <c r="AV85" s="14"/>
      <c r="AW85" s="14"/>
      <c r="AX85" s="14"/>
      <c r="AY85" s="14"/>
      <c r="AZ85" s="14"/>
    </row>
    <row r="86" spans="1:52" ht="27.75" customHeight="1" x14ac:dyDescent="0.25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5"/>
      <c r="P86" s="215"/>
      <c r="Q86" s="215"/>
      <c r="R86" s="215"/>
      <c r="S86" s="215"/>
      <c r="T86" s="215"/>
      <c r="U86" s="214"/>
      <c r="V86" s="214"/>
      <c r="W86" s="214"/>
      <c r="X86" s="216"/>
      <c r="Y86" s="216"/>
      <c r="Z86" s="216"/>
      <c r="AA86" s="216"/>
      <c r="AB86" s="86" t="s">
        <v>200</v>
      </c>
      <c r="AC86" s="87" t="s">
        <v>132</v>
      </c>
      <c r="AD86" s="19">
        <v>0</v>
      </c>
      <c r="AE86" s="89">
        <v>0</v>
      </c>
      <c r="AF86" s="89">
        <v>0</v>
      </c>
      <c r="AG86" s="89">
        <v>0</v>
      </c>
      <c r="AH86" s="89">
        <v>1</v>
      </c>
      <c r="AI86" s="19">
        <v>0</v>
      </c>
      <c r="AJ86" s="19">
        <v>0</v>
      </c>
      <c r="AK86" s="19">
        <v>1</v>
      </c>
      <c r="AL86" s="19">
        <v>2025</v>
      </c>
      <c r="AQ86" s="14"/>
      <c r="AR86" s="14"/>
      <c r="AS86" s="14"/>
      <c r="AT86" s="176"/>
      <c r="AU86" s="14"/>
      <c r="AV86" s="14"/>
      <c r="AW86" s="14"/>
      <c r="AX86" s="14"/>
      <c r="AY86" s="14"/>
      <c r="AZ86" s="14"/>
    </row>
    <row r="87" spans="1:52" ht="24" customHeight="1" x14ac:dyDescent="0.25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5"/>
      <c r="P87" s="215"/>
      <c r="Q87" s="215"/>
      <c r="R87" s="215"/>
      <c r="S87" s="215"/>
      <c r="T87" s="215"/>
      <c r="U87" s="214"/>
      <c r="V87" s="214"/>
      <c r="W87" s="214"/>
      <c r="X87" s="216"/>
      <c r="Y87" s="216"/>
      <c r="Z87" s="216"/>
      <c r="AA87" s="216"/>
      <c r="AB87" s="86" t="s">
        <v>201</v>
      </c>
      <c r="AC87" s="87" t="s">
        <v>132</v>
      </c>
      <c r="AD87" s="19">
        <v>0</v>
      </c>
      <c r="AE87" s="89">
        <v>0</v>
      </c>
      <c r="AF87" s="89">
        <v>0</v>
      </c>
      <c r="AG87" s="89">
        <v>0</v>
      </c>
      <c r="AH87" s="89">
        <v>1</v>
      </c>
      <c r="AI87" s="19">
        <v>0</v>
      </c>
      <c r="AJ87" s="19">
        <v>0</v>
      </c>
      <c r="AK87" s="19">
        <v>1</v>
      </c>
      <c r="AL87" s="19">
        <v>2025</v>
      </c>
      <c r="AQ87" s="14"/>
      <c r="AR87" s="14"/>
      <c r="AS87" s="14"/>
      <c r="AT87" s="176"/>
      <c r="AU87" s="14"/>
      <c r="AV87" s="14"/>
      <c r="AW87" s="14"/>
      <c r="AX87" s="14"/>
      <c r="AY87" s="14"/>
      <c r="AZ87" s="14"/>
    </row>
    <row r="88" spans="1:52" ht="48" customHeight="1" x14ac:dyDescent="0.25">
      <c r="A88" s="57"/>
      <c r="B88" s="57"/>
      <c r="C88" s="57"/>
      <c r="D88" s="57"/>
      <c r="E88" s="57"/>
      <c r="F88" s="57"/>
      <c r="G88" s="57"/>
      <c r="H88" s="57" t="s">
        <v>21</v>
      </c>
      <c r="I88" s="57" t="s">
        <v>22</v>
      </c>
      <c r="J88" s="57" t="s">
        <v>24</v>
      </c>
      <c r="K88" s="57" t="s">
        <v>21</v>
      </c>
      <c r="L88" s="57" t="s">
        <v>24</v>
      </c>
      <c r="M88" s="57" t="s">
        <v>21</v>
      </c>
      <c r="N88" s="57" t="s">
        <v>21</v>
      </c>
      <c r="O88" s="58"/>
      <c r="P88" s="58"/>
      <c r="Q88" s="58"/>
      <c r="R88" s="58"/>
      <c r="S88" s="58" t="s">
        <v>45</v>
      </c>
      <c r="T88" s="58"/>
      <c r="U88" s="57"/>
      <c r="V88" s="57"/>
      <c r="W88" s="57"/>
      <c r="X88" s="59"/>
      <c r="Y88" s="59" t="s">
        <v>21</v>
      </c>
      <c r="Z88" s="59" t="s">
        <v>21</v>
      </c>
      <c r="AA88" s="59" t="s">
        <v>21</v>
      </c>
      <c r="AB88" s="69" t="s">
        <v>133</v>
      </c>
      <c r="AC88" s="60" t="s">
        <v>3</v>
      </c>
      <c r="AD88" s="104">
        <f t="shared" ref="AD88:AE88" si="7">SUM(AD90,AD92)</f>
        <v>0</v>
      </c>
      <c r="AE88" s="104">
        <f t="shared" si="7"/>
        <v>3600</v>
      </c>
      <c r="AF88" s="104">
        <f>SUM(AF90,AF92)</f>
        <v>3850</v>
      </c>
      <c r="AG88" s="104">
        <f>SUM(AG90,AG92,)</f>
        <v>2635.6</v>
      </c>
      <c r="AH88" s="104">
        <f>SUM(AH90,AH92,AH94)</f>
        <v>25586.100000000002</v>
      </c>
      <c r="AI88" s="61">
        <f>SUM(AI90,AI92,AI94)</f>
        <v>7600</v>
      </c>
      <c r="AJ88" s="61">
        <f>AJ90+AJ92+AJ94</f>
        <v>7600</v>
      </c>
      <c r="AK88" s="61">
        <f>SUM(AD88:AJ88)</f>
        <v>50871.700000000004</v>
      </c>
      <c r="AL88" s="62">
        <v>2027</v>
      </c>
      <c r="AQ88" s="14"/>
      <c r="AR88" s="14"/>
      <c r="AS88" s="14"/>
      <c r="AT88" s="176"/>
      <c r="AU88" s="14"/>
      <c r="AV88" s="14"/>
      <c r="AW88" s="14"/>
      <c r="AX88" s="14"/>
      <c r="AY88" s="14"/>
      <c r="AZ88" s="14"/>
    </row>
    <row r="89" spans="1:52" ht="38.2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5"/>
      <c r="P89" s="65"/>
      <c r="Q89" s="65"/>
      <c r="R89" s="65"/>
      <c r="S89" s="65"/>
      <c r="T89" s="65"/>
      <c r="U89" s="66"/>
      <c r="V89" s="66"/>
      <c r="W89" s="66"/>
      <c r="X89" s="39"/>
      <c r="Y89" s="39"/>
      <c r="Z89" s="39"/>
      <c r="AA89" s="39"/>
      <c r="AB89" s="40" t="s">
        <v>88</v>
      </c>
      <c r="AC89" s="9" t="s">
        <v>49</v>
      </c>
      <c r="AD89" s="19">
        <v>1</v>
      </c>
      <c r="AE89" s="89">
        <v>1</v>
      </c>
      <c r="AF89" s="89">
        <v>1</v>
      </c>
      <c r="AG89" s="89">
        <v>1</v>
      </c>
      <c r="AH89" s="89">
        <v>1</v>
      </c>
      <c r="AI89" s="19">
        <v>1</v>
      </c>
      <c r="AJ89" s="19">
        <v>1</v>
      </c>
      <c r="AK89" s="19">
        <v>1</v>
      </c>
      <c r="AL89" s="19">
        <v>2027</v>
      </c>
      <c r="AQ89" s="14"/>
      <c r="AR89" s="14"/>
      <c r="AS89" s="14"/>
      <c r="AT89" s="176"/>
      <c r="AU89" s="14"/>
      <c r="AV89" s="14"/>
      <c r="AW89" s="14"/>
      <c r="AX89" s="14"/>
      <c r="AY89" s="14"/>
      <c r="AZ89" s="14"/>
    </row>
    <row r="90" spans="1:52" ht="61.5" customHeight="1" x14ac:dyDescent="0.25">
      <c r="A90" s="73" t="s">
        <v>21</v>
      </c>
      <c r="B90" s="73" t="s">
        <v>26</v>
      </c>
      <c r="C90" s="73" t="s">
        <v>25</v>
      </c>
      <c r="D90" s="73" t="s">
        <v>21</v>
      </c>
      <c r="E90" s="73" t="s">
        <v>27</v>
      </c>
      <c r="F90" s="73" t="s">
        <v>21</v>
      </c>
      <c r="G90" s="73" t="s">
        <v>24</v>
      </c>
      <c r="H90" s="73" t="s">
        <v>21</v>
      </c>
      <c r="I90" s="73" t="s">
        <v>22</v>
      </c>
      <c r="J90" s="73" t="s">
        <v>24</v>
      </c>
      <c r="K90" s="73" t="s">
        <v>21</v>
      </c>
      <c r="L90" s="73" t="s">
        <v>24</v>
      </c>
      <c r="M90" s="85" t="s">
        <v>124</v>
      </c>
      <c r="N90" s="85" t="s">
        <v>124</v>
      </c>
      <c r="O90" s="72"/>
      <c r="P90" s="72"/>
      <c r="Q90" s="72"/>
      <c r="R90" s="72"/>
      <c r="S90" s="72"/>
      <c r="T90" s="72"/>
      <c r="U90" s="73"/>
      <c r="V90" s="73"/>
      <c r="W90" s="73"/>
      <c r="X90" s="39"/>
      <c r="Y90" s="39" t="s">
        <v>124</v>
      </c>
      <c r="Z90" s="39" t="s">
        <v>124</v>
      </c>
      <c r="AA90" s="39" t="s">
        <v>124</v>
      </c>
      <c r="AB90" s="40" t="s">
        <v>59</v>
      </c>
      <c r="AC90" s="9" t="s">
        <v>3</v>
      </c>
      <c r="AD90" s="18">
        <v>0</v>
      </c>
      <c r="AE90" s="88">
        <v>3600</v>
      </c>
      <c r="AF90" s="88">
        <v>3850</v>
      </c>
      <c r="AG90" s="91">
        <v>0</v>
      </c>
      <c r="AH90" s="91">
        <v>0</v>
      </c>
      <c r="AI90" s="88">
        <f>1600+6000</f>
        <v>7600</v>
      </c>
      <c r="AJ90" s="88">
        <f>AI90</f>
        <v>7600</v>
      </c>
      <c r="AK90" s="88">
        <f>SUM(AD90:AJ90)</f>
        <v>22650</v>
      </c>
      <c r="AL90" s="198">
        <v>2027</v>
      </c>
      <c r="AQ90" s="14"/>
      <c r="AR90" s="14"/>
      <c r="AS90" s="14"/>
      <c r="AT90" s="176"/>
      <c r="AU90" s="14"/>
      <c r="AV90" s="14"/>
      <c r="AW90" s="14"/>
      <c r="AX90" s="14"/>
      <c r="AY90" s="14"/>
      <c r="AZ90" s="14"/>
    </row>
    <row r="91" spans="1:52" ht="33" customHeight="1" x14ac:dyDescent="0.25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5"/>
      <c r="P91" s="65"/>
      <c r="Q91" s="65"/>
      <c r="R91" s="65"/>
      <c r="S91" s="65"/>
      <c r="T91" s="65"/>
      <c r="U91" s="66"/>
      <c r="V91" s="66"/>
      <c r="W91" s="66"/>
      <c r="X91" s="39"/>
      <c r="Y91" s="39"/>
      <c r="Z91" s="39"/>
      <c r="AA91" s="39"/>
      <c r="AB91" s="40" t="s">
        <v>60</v>
      </c>
      <c r="AC91" s="9" t="s">
        <v>2</v>
      </c>
      <c r="AD91" s="19">
        <v>0</v>
      </c>
      <c r="AE91" s="89">
        <v>1</v>
      </c>
      <c r="AF91" s="89">
        <v>1</v>
      </c>
      <c r="AG91" s="89">
        <v>0</v>
      </c>
      <c r="AH91" s="89">
        <v>0</v>
      </c>
      <c r="AI91" s="89">
        <v>1</v>
      </c>
      <c r="AJ91" s="89">
        <v>1</v>
      </c>
      <c r="AK91" s="89">
        <v>1</v>
      </c>
      <c r="AL91" s="198">
        <v>2027</v>
      </c>
      <c r="AQ91" s="14"/>
      <c r="AR91" s="14"/>
      <c r="AS91" s="14"/>
      <c r="AT91" s="176"/>
      <c r="AU91" s="14"/>
      <c r="AV91" s="14"/>
      <c r="AW91" s="14"/>
      <c r="AX91" s="14"/>
      <c r="AY91" s="14"/>
      <c r="AZ91" s="14"/>
    </row>
    <row r="92" spans="1:52" ht="56.25" customHeight="1" x14ac:dyDescent="0.25">
      <c r="A92" s="73" t="s">
        <v>21</v>
      </c>
      <c r="B92" s="73" t="s">
        <v>26</v>
      </c>
      <c r="C92" s="73" t="s">
        <v>25</v>
      </c>
      <c r="D92" s="73" t="s">
        <v>21</v>
      </c>
      <c r="E92" s="73" t="s">
        <v>27</v>
      </c>
      <c r="F92" s="73" t="s">
        <v>21</v>
      </c>
      <c r="G92" s="73" t="s">
        <v>24</v>
      </c>
      <c r="H92" s="73" t="s">
        <v>21</v>
      </c>
      <c r="I92" s="73" t="s">
        <v>22</v>
      </c>
      <c r="J92" s="73" t="s">
        <v>24</v>
      </c>
      <c r="K92" s="73" t="s">
        <v>21</v>
      </c>
      <c r="L92" s="73" t="s">
        <v>24</v>
      </c>
      <c r="M92" s="85" t="s">
        <v>124</v>
      </c>
      <c r="N92" s="85" t="s">
        <v>124</v>
      </c>
      <c r="O92" s="72"/>
      <c r="P92" s="72"/>
      <c r="Q92" s="72"/>
      <c r="R92" s="72"/>
      <c r="S92" s="72"/>
      <c r="T92" s="72"/>
      <c r="U92" s="73"/>
      <c r="V92" s="73"/>
      <c r="W92" s="73"/>
      <c r="X92" s="39"/>
      <c r="Y92" s="39" t="s">
        <v>124</v>
      </c>
      <c r="Z92" s="39" t="s">
        <v>124</v>
      </c>
      <c r="AA92" s="39" t="s">
        <v>124</v>
      </c>
      <c r="AB92" s="86" t="s">
        <v>61</v>
      </c>
      <c r="AC92" s="87" t="s">
        <v>3</v>
      </c>
      <c r="AD92" s="91">
        <v>0</v>
      </c>
      <c r="AE92" s="91">
        <v>0</v>
      </c>
      <c r="AF92" s="88">
        <v>0</v>
      </c>
      <c r="AG92" s="88">
        <f>2003.6+632</f>
        <v>2635.6</v>
      </c>
      <c r="AH92" s="88">
        <v>4771.7</v>
      </c>
      <c r="AI92" s="199">
        <v>0</v>
      </c>
      <c r="AJ92" s="199">
        <v>0</v>
      </c>
      <c r="AK92" s="199">
        <f>SUM(AD92:AJ92)</f>
        <v>7407.2999999999993</v>
      </c>
      <c r="AL92" s="19">
        <v>2025</v>
      </c>
      <c r="AQ92" s="14"/>
      <c r="AR92" s="14"/>
      <c r="AS92" s="14"/>
      <c r="AT92" s="176"/>
      <c r="AU92" s="14"/>
      <c r="AV92" s="14"/>
      <c r="AW92" s="14"/>
      <c r="AX92" s="14"/>
      <c r="AY92" s="14"/>
      <c r="AZ92" s="14"/>
    </row>
    <row r="93" spans="1:52" ht="41.25" customHeight="1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5"/>
      <c r="P93" s="65"/>
      <c r="Q93" s="65"/>
      <c r="R93" s="65"/>
      <c r="S93" s="65"/>
      <c r="T93" s="65"/>
      <c r="U93" s="66"/>
      <c r="V93" s="66"/>
      <c r="W93" s="66"/>
      <c r="X93" s="39"/>
      <c r="Y93" s="39"/>
      <c r="Z93" s="39"/>
      <c r="AA93" s="39"/>
      <c r="AB93" s="40" t="s">
        <v>62</v>
      </c>
      <c r="AC93" s="9" t="s">
        <v>2</v>
      </c>
      <c r="AD93" s="19">
        <v>0</v>
      </c>
      <c r="AE93" s="89">
        <v>0</v>
      </c>
      <c r="AF93" s="89">
        <v>1</v>
      </c>
      <c r="AG93" s="89">
        <v>1</v>
      </c>
      <c r="AH93" s="89">
        <v>1</v>
      </c>
      <c r="AI93" s="19">
        <v>0</v>
      </c>
      <c r="AJ93" s="19">
        <v>0</v>
      </c>
      <c r="AK93" s="19">
        <v>1</v>
      </c>
      <c r="AL93" s="19">
        <v>2025</v>
      </c>
      <c r="AQ93" s="14"/>
      <c r="AR93" s="14"/>
      <c r="AS93" s="14"/>
      <c r="AT93" s="176"/>
      <c r="AU93" s="14"/>
      <c r="AV93" s="14"/>
      <c r="AW93" s="14"/>
      <c r="AX93" s="14"/>
      <c r="AY93" s="14"/>
      <c r="AZ93" s="14"/>
    </row>
    <row r="94" spans="1:52" ht="43.5" customHeight="1" x14ac:dyDescent="0.25">
      <c r="A94" s="171" t="s">
        <v>21</v>
      </c>
      <c r="B94" s="171" t="s">
        <v>26</v>
      </c>
      <c r="C94" s="171" t="s">
        <v>25</v>
      </c>
      <c r="D94" s="171" t="s">
        <v>21</v>
      </c>
      <c r="E94" s="171" t="s">
        <v>27</v>
      </c>
      <c r="F94" s="171" t="s">
        <v>21</v>
      </c>
      <c r="G94" s="171" t="s">
        <v>24</v>
      </c>
      <c r="H94" s="171" t="s">
        <v>21</v>
      </c>
      <c r="I94" s="171" t="s">
        <v>22</v>
      </c>
      <c r="J94" s="171" t="s">
        <v>24</v>
      </c>
      <c r="K94" s="171" t="s">
        <v>21</v>
      </c>
      <c r="L94" s="171" t="s">
        <v>24</v>
      </c>
      <c r="M94" s="171" t="s">
        <v>124</v>
      </c>
      <c r="N94" s="171" t="s">
        <v>124</v>
      </c>
      <c r="O94" s="170"/>
      <c r="P94" s="170"/>
      <c r="Q94" s="170"/>
      <c r="R94" s="170"/>
      <c r="S94" s="170"/>
      <c r="T94" s="170"/>
      <c r="U94" s="171"/>
      <c r="V94" s="171"/>
      <c r="W94" s="171"/>
      <c r="X94" s="39"/>
      <c r="Y94" s="39" t="s">
        <v>124</v>
      </c>
      <c r="Z94" s="39" t="s">
        <v>124</v>
      </c>
      <c r="AA94" s="39" t="s">
        <v>124</v>
      </c>
      <c r="AB94" s="86" t="s">
        <v>188</v>
      </c>
      <c r="AC94" s="87" t="s">
        <v>3</v>
      </c>
      <c r="AD94" s="91" t="s">
        <v>185</v>
      </c>
      <c r="AE94" s="91" t="s">
        <v>185</v>
      </c>
      <c r="AF94" s="91">
        <v>0</v>
      </c>
      <c r="AG94" s="91">
        <v>0</v>
      </c>
      <c r="AH94" s="88">
        <v>20814.400000000001</v>
      </c>
      <c r="AI94" s="199">
        <v>0</v>
      </c>
      <c r="AJ94" s="199">
        <v>0</v>
      </c>
      <c r="AK94" s="34">
        <f>SUM(AD94:AJ94)</f>
        <v>20814.400000000001</v>
      </c>
      <c r="AL94" s="19">
        <v>2025</v>
      </c>
      <c r="AN94" s="194"/>
      <c r="AQ94" s="14"/>
      <c r="AR94" s="14"/>
      <c r="AS94" s="14"/>
      <c r="AT94" s="176"/>
      <c r="AU94" s="14"/>
      <c r="AV94" s="14"/>
      <c r="AW94" s="14"/>
      <c r="AX94" s="14"/>
      <c r="AY94" s="14"/>
      <c r="AZ94" s="14"/>
    </row>
    <row r="95" spans="1:52" ht="30" customHeight="1" x14ac:dyDescent="0.25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0"/>
      <c r="P95" s="170"/>
      <c r="Q95" s="170"/>
      <c r="R95" s="170"/>
      <c r="S95" s="170"/>
      <c r="T95" s="170"/>
      <c r="U95" s="171"/>
      <c r="V95" s="171"/>
      <c r="W95" s="171"/>
      <c r="X95" s="39"/>
      <c r="Y95" s="39"/>
      <c r="Z95" s="39"/>
      <c r="AA95" s="39"/>
      <c r="AB95" s="40" t="s">
        <v>189</v>
      </c>
      <c r="AC95" s="9" t="s">
        <v>2</v>
      </c>
      <c r="AD95" s="19" t="s">
        <v>185</v>
      </c>
      <c r="AE95" s="89" t="s">
        <v>185</v>
      </c>
      <c r="AF95" s="89">
        <v>0</v>
      </c>
      <c r="AG95" s="89">
        <v>0</v>
      </c>
      <c r="AH95" s="197">
        <v>1</v>
      </c>
      <c r="AI95" s="197">
        <v>0</v>
      </c>
      <c r="AJ95" s="197">
        <v>0</v>
      </c>
      <c r="AK95" s="19">
        <f>SUM(AD95:AJ95)</f>
        <v>1</v>
      </c>
      <c r="AL95" s="19">
        <v>2025</v>
      </c>
      <c r="AQ95" s="14"/>
      <c r="AR95" s="14"/>
      <c r="AS95" s="14"/>
      <c r="AT95" s="176"/>
      <c r="AU95" s="14"/>
      <c r="AV95" s="14"/>
      <c r="AW95" s="14"/>
      <c r="AX95" s="14"/>
      <c r="AY95" s="14"/>
      <c r="AZ95" s="14"/>
    </row>
    <row r="96" spans="1:52" ht="62.25" customHeight="1" x14ac:dyDescent="0.25">
      <c r="A96" s="44"/>
      <c r="B96" s="44"/>
      <c r="C96" s="44"/>
      <c r="D96" s="44"/>
      <c r="E96" s="44"/>
      <c r="F96" s="44"/>
      <c r="G96" s="44"/>
      <c r="H96" s="44" t="s">
        <v>21</v>
      </c>
      <c r="I96" s="44" t="s">
        <v>22</v>
      </c>
      <c r="J96" s="44" t="s">
        <v>25</v>
      </c>
      <c r="K96" s="44" t="s">
        <v>21</v>
      </c>
      <c r="L96" s="44" t="s">
        <v>21</v>
      </c>
      <c r="M96" s="44" t="s">
        <v>21</v>
      </c>
      <c r="N96" s="44" t="s">
        <v>21</v>
      </c>
      <c r="O96" s="45"/>
      <c r="P96" s="45"/>
      <c r="Q96" s="45"/>
      <c r="R96" s="45" t="s">
        <v>46</v>
      </c>
      <c r="S96" s="45"/>
      <c r="T96" s="45"/>
      <c r="U96" s="44"/>
      <c r="V96" s="44"/>
      <c r="W96" s="44"/>
      <c r="X96" s="56"/>
      <c r="Y96" s="56" t="s">
        <v>21</v>
      </c>
      <c r="Z96" s="56" t="s">
        <v>21</v>
      </c>
      <c r="AA96" s="56" t="s">
        <v>21</v>
      </c>
      <c r="AB96" s="46" t="s">
        <v>63</v>
      </c>
      <c r="AC96" s="47" t="s">
        <v>3</v>
      </c>
      <c r="AD96" s="48">
        <f t="shared" ref="AD96:AI96" si="8">SUM(AD97,AD109,AD116)</f>
        <v>13123.630000000001</v>
      </c>
      <c r="AE96" s="48">
        <f t="shared" si="8"/>
        <v>0</v>
      </c>
      <c r="AF96" s="48">
        <f>AF97</f>
        <v>36107.1</v>
      </c>
      <c r="AG96" s="48">
        <f t="shared" si="8"/>
        <v>25062.2</v>
      </c>
      <c r="AH96" s="48">
        <f t="shared" si="8"/>
        <v>6736.1</v>
      </c>
      <c r="AI96" s="48">
        <f t="shared" si="8"/>
        <v>10000</v>
      </c>
      <c r="AJ96" s="48">
        <f>AJ97</f>
        <v>10000</v>
      </c>
      <c r="AK96" s="48">
        <f>SUM(AD96:AJ96)</f>
        <v>101029.03</v>
      </c>
      <c r="AL96" s="49">
        <v>2027</v>
      </c>
      <c r="AM96" s="98"/>
      <c r="AQ96" s="14"/>
      <c r="AR96" s="14"/>
      <c r="AS96" s="14"/>
      <c r="AT96" s="176"/>
      <c r="AU96" s="190"/>
      <c r="AV96" s="14"/>
      <c r="AW96" s="14"/>
      <c r="AX96" s="14"/>
      <c r="AY96" s="14"/>
      <c r="AZ96" s="14"/>
    </row>
    <row r="97" spans="1:52" s="74" customFormat="1" ht="39.75" customHeight="1" x14ac:dyDescent="0.25">
      <c r="A97" s="57"/>
      <c r="B97" s="57"/>
      <c r="C97" s="57"/>
      <c r="D97" s="57"/>
      <c r="E97" s="57"/>
      <c r="F97" s="57"/>
      <c r="G97" s="57"/>
      <c r="H97" s="57" t="s">
        <v>21</v>
      </c>
      <c r="I97" s="57" t="s">
        <v>22</v>
      </c>
      <c r="J97" s="57" t="s">
        <v>25</v>
      </c>
      <c r="K97" s="57" t="s">
        <v>21</v>
      </c>
      <c r="L97" s="57" t="s">
        <v>23</v>
      </c>
      <c r="M97" s="57" t="s">
        <v>21</v>
      </c>
      <c r="N97" s="57" t="s">
        <v>21</v>
      </c>
      <c r="O97" s="58"/>
      <c r="P97" s="58"/>
      <c r="Q97" s="58"/>
      <c r="R97" s="58"/>
      <c r="S97" s="58" t="s">
        <v>74</v>
      </c>
      <c r="T97" s="58"/>
      <c r="U97" s="57"/>
      <c r="V97" s="57"/>
      <c r="W97" s="57"/>
      <c r="X97" s="59"/>
      <c r="Y97" s="59" t="s">
        <v>21</v>
      </c>
      <c r="Z97" s="59" t="s">
        <v>21</v>
      </c>
      <c r="AA97" s="59" t="s">
        <v>21</v>
      </c>
      <c r="AB97" s="69" t="s">
        <v>121</v>
      </c>
      <c r="AC97" s="60" t="s">
        <v>3</v>
      </c>
      <c r="AD97" s="61">
        <f>AD102+AD101+AD103</f>
        <v>13123.630000000001</v>
      </c>
      <c r="AE97" s="61">
        <v>0</v>
      </c>
      <c r="AF97" s="61">
        <f>AF101+AF103</f>
        <v>36107.1</v>
      </c>
      <c r="AG97" s="61">
        <f>AG101+AG103+AG102</f>
        <v>25062.2</v>
      </c>
      <c r="AH97" s="61">
        <f>AH101+AH102+AH103</f>
        <v>6736.1</v>
      </c>
      <c r="AI97" s="61">
        <f>AI101+AI102+AI103</f>
        <v>10000</v>
      </c>
      <c r="AJ97" s="61">
        <f>AJ101+AJ102+AJ103</f>
        <v>10000</v>
      </c>
      <c r="AK97" s="61">
        <f>SUM(AD97:AJ97)</f>
        <v>101029.03</v>
      </c>
      <c r="AL97" s="62">
        <v>2027</v>
      </c>
      <c r="AQ97" s="191"/>
      <c r="AR97" s="191"/>
      <c r="AS97" s="191"/>
      <c r="AT97" s="176"/>
      <c r="AU97" s="191"/>
      <c r="AV97" s="191"/>
      <c r="AW97" s="191"/>
      <c r="AX97" s="191"/>
      <c r="AY97" s="191"/>
      <c r="AZ97" s="191"/>
    </row>
    <row r="98" spans="1:52" ht="42" customHeight="1" x14ac:dyDescent="0.2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0"/>
      <c r="P98" s="70"/>
      <c r="Q98" s="70"/>
      <c r="R98" s="70"/>
      <c r="S98" s="70"/>
      <c r="T98" s="70"/>
      <c r="U98" s="71"/>
      <c r="V98" s="71"/>
      <c r="W98" s="71"/>
      <c r="X98" s="39"/>
      <c r="Y98" s="39"/>
      <c r="Z98" s="39"/>
      <c r="AA98" s="39"/>
      <c r="AB98" s="40" t="s">
        <v>118</v>
      </c>
      <c r="AC98" s="9" t="s">
        <v>36</v>
      </c>
      <c r="AD98" s="18">
        <v>313618.5</v>
      </c>
      <c r="AE98" s="91">
        <f t="shared" ref="AE98:AI100" si="9">AD98*0.99</f>
        <v>310482.315</v>
      </c>
      <c r="AF98" s="91">
        <f t="shared" si="9"/>
        <v>307377.49184999999</v>
      </c>
      <c r="AG98" s="91">
        <f t="shared" si="9"/>
        <v>304303.71693150001</v>
      </c>
      <c r="AH98" s="91">
        <f t="shared" si="9"/>
        <v>301260.67976218503</v>
      </c>
      <c r="AI98" s="218">
        <f t="shared" si="9"/>
        <v>298248.07296456315</v>
      </c>
      <c r="AJ98" s="218">
        <f>AJ106</f>
        <v>295233.07296456315</v>
      </c>
      <c r="AK98" s="218">
        <f>AJ98</f>
        <v>295233.07296456315</v>
      </c>
      <c r="AL98" s="19">
        <v>2027</v>
      </c>
      <c r="AQ98" s="14"/>
      <c r="AR98" s="14"/>
      <c r="AS98" s="14"/>
      <c r="AT98" s="176"/>
      <c r="AU98" s="14"/>
      <c r="AV98" s="14"/>
      <c r="AW98" s="14"/>
      <c r="AX98" s="14"/>
      <c r="AY98" s="14"/>
      <c r="AZ98" s="14"/>
    </row>
    <row r="99" spans="1:52" ht="28.5" customHeight="1" x14ac:dyDescent="0.2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0"/>
      <c r="P99" s="70"/>
      <c r="Q99" s="70"/>
      <c r="R99" s="70"/>
      <c r="S99" s="70"/>
      <c r="T99" s="70"/>
      <c r="U99" s="71"/>
      <c r="V99" s="71"/>
      <c r="W99" s="71"/>
      <c r="X99" s="39"/>
      <c r="Y99" s="39"/>
      <c r="Z99" s="39"/>
      <c r="AA99" s="39"/>
      <c r="AB99" s="40" t="s">
        <v>119</v>
      </c>
      <c r="AC99" s="9" t="s">
        <v>0</v>
      </c>
      <c r="AD99" s="18">
        <v>750622.8</v>
      </c>
      <c r="AE99" s="91">
        <f t="shared" si="9"/>
        <v>743116.57200000004</v>
      </c>
      <c r="AF99" s="91">
        <f t="shared" si="9"/>
        <v>735685.40628</v>
      </c>
      <c r="AG99" s="91">
        <f t="shared" si="9"/>
        <v>728328.55221719993</v>
      </c>
      <c r="AH99" s="91">
        <f t="shared" si="9"/>
        <v>721045.26669502794</v>
      </c>
      <c r="AI99" s="218">
        <f t="shared" si="9"/>
        <v>713834.81402807764</v>
      </c>
      <c r="AJ99" s="218">
        <f>AJ107</f>
        <v>706684.81402807764</v>
      </c>
      <c r="AK99" s="218">
        <f>AJ99</f>
        <v>706684.81402807764</v>
      </c>
      <c r="AL99" s="19">
        <v>2027</v>
      </c>
      <c r="AQ99" s="14"/>
      <c r="AR99" s="14"/>
      <c r="AS99" s="14"/>
      <c r="AT99" s="176"/>
      <c r="AU99" s="14"/>
      <c r="AV99" s="14"/>
      <c r="AW99" s="14"/>
      <c r="AX99" s="14"/>
      <c r="AY99" s="14"/>
      <c r="AZ99" s="14"/>
    </row>
    <row r="100" spans="1:52" ht="32.25" customHeight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0"/>
      <c r="P100" s="70"/>
      <c r="Q100" s="70"/>
      <c r="R100" s="70"/>
      <c r="S100" s="70"/>
      <c r="T100" s="70"/>
      <c r="U100" s="71"/>
      <c r="V100" s="71"/>
      <c r="W100" s="71"/>
      <c r="X100" s="39"/>
      <c r="Y100" s="39"/>
      <c r="Z100" s="39"/>
      <c r="AA100" s="39"/>
      <c r="AB100" s="40" t="s">
        <v>120</v>
      </c>
      <c r="AC100" s="9" t="s">
        <v>12</v>
      </c>
      <c r="AD100" s="18">
        <v>10083407</v>
      </c>
      <c r="AE100" s="91">
        <f t="shared" si="9"/>
        <v>9982572.9299999997</v>
      </c>
      <c r="AF100" s="91">
        <f t="shared" si="9"/>
        <v>9882747.2006999999</v>
      </c>
      <c r="AG100" s="91">
        <f t="shared" si="9"/>
        <v>9783919.7286929991</v>
      </c>
      <c r="AH100" s="91">
        <f t="shared" si="9"/>
        <v>9686080.5314060692</v>
      </c>
      <c r="AI100" s="218">
        <f t="shared" si="9"/>
        <v>9589219.7260920089</v>
      </c>
      <c r="AJ100" s="218">
        <f>AJ108</f>
        <v>9492419.7260920089</v>
      </c>
      <c r="AK100" s="218">
        <f>AJ100</f>
        <v>9492419.7260920089</v>
      </c>
      <c r="AL100" s="19">
        <v>2027</v>
      </c>
      <c r="AN100" s="99">
        <f>AN101+AN102</f>
        <v>25062.2</v>
      </c>
      <c r="AQ100" s="14"/>
      <c r="AR100" s="14"/>
      <c r="AS100" s="14"/>
      <c r="AT100" s="176"/>
      <c r="AU100" s="14"/>
      <c r="AV100" s="14"/>
      <c r="AW100" s="14"/>
      <c r="AX100" s="14"/>
      <c r="AY100" s="14"/>
      <c r="AZ100" s="14"/>
    </row>
    <row r="101" spans="1:52" ht="65.25" customHeight="1" x14ac:dyDescent="0.25">
      <c r="A101" s="84" t="s">
        <v>21</v>
      </c>
      <c r="B101" s="84" t="s">
        <v>26</v>
      </c>
      <c r="C101" s="84" t="s">
        <v>25</v>
      </c>
      <c r="D101" s="84" t="s">
        <v>21</v>
      </c>
      <c r="E101" s="84" t="s">
        <v>27</v>
      </c>
      <c r="F101" s="84" t="s">
        <v>21</v>
      </c>
      <c r="G101" s="84" t="s">
        <v>24</v>
      </c>
      <c r="H101" s="84" t="s">
        <v>21</v>
      </c>
      <c r="I101" s="84" t="s">
        <v>22</v>
      </c>
      <c r="J101" s="84" t="s">
        <v>25</v>
      </c>
      <c r="K101" s="84" t="s">
        <v>21</v>
      </c>
      <c r="L101" s="84" t="s">
        <v>23</v>
      </c>
      <c r="M101" s="85" t="s">
        <v>125</v>
      </c>
      <c r="N101" s="85" t="s">
        <v>21</v>
      </c>
      <c r="O101" s="83"/>
      <c r="P101" s="83"/>
      <c r="Q101" s="83"/>
      <c r="R101" s="83"/>
      <c r="S101" s="83"/>
      <c r="T101" s="83"/>
      <c r="U101" s="84"/>
      <c r="V101" s="84"/>
      <c r="W101" s="84"/>
      <c r="X101" s="39"/>
      <c r="Y101" s="39" t="s">
        <v>126</v>
      </c>
      <c r="Z101" s="39" t="s">
        <v>21</v>
      </c>
      <c r="AA101" s="39" t="s">
        <v>21</v>
      </c>
      <c r="AB101" s="40" t="s">
        <v>122</v>
      </c>
      <c r="AC101" s="9" t="s">
        <v>3</v>
      </c>
      <c r="AD101" s="34">
        <f>(2194318.56+49681.44)/1000</f>
        <v>2244</v>
      </c>
      <c r="AE101" s="88">
        <v>0</v>
      </c>
      <c r="AF101" s="88">
        <v>7195.5</v>
      </c>
      <c r="AG101" s="88">
        <v>4622.8</v>
      </c>
      <c r="AH101" s="88">
        <v>6736.1</v>
      </c>
      <c r="AI101" s="88">
        <v>10000</v>
      </c>
      <c r="AJ101" s="88">
        <v>10000</v>
      </c>
      <c r="AK101" s="91">
        <f>SUM(AD101:AJ101)</f>
        <v>40798.400000000001</v>
      </c>
      <c r="AL101" s="19">
        <v>2027</v>
      </c>
      <c r="AM101" s="10" t="s">
        <v>136</v>
      </c>
      <c r="AN101" s="99">
        <f>AG101+AG102</f>
        <v>5659.8</v>
      </c>
      <c r="AO101" s="10">
        <v>1037</v>
      </c>
      <c r="AP101" s="10">
        <f>4521.1+101.7</f>
        <v>4622.8</v>
      </c>
      <c r="AQ101" s="14"/>
      <c r="AR101" s="14"/>
      <c r="AS101" s="14"/>
      <c r="AT101" s="176"/>
      <c r="AU101" s="14"/>
      <c r="AV101" s="14"/>
      <c r="AW101" s="14"/>
      <c r="AX101" s="14"/>
      <c r="AY101" s="14"/>
      <c r="AZ101" s="14"/>
    </row>
    <row r="102" spans="1:52" s="2" customFormat="1" ht="57.75" customHeight="1" x14ac:dyDescent="0.25">
      <c r="A102" s="73" t="s">
        <v>21</v>
      </c>
      <c r="B102" s="73" t="s">
        <v>26</v>
      </c>
      <c r="C102" s="73" t="s">
        <v>25</v>
      </c>
      <c r="D102" s="73" t="s">
        <v>21</v>
      </c>
      <c r="E102" s="73" t="s">
        <v>27</v>
      </c>
      <c r="F102" s="73" t="s">
        <v>21</v>
      </c>
      <c r="G102" s="73" t="s">
        <v>24</v>
      </c>
      <c r="H102" s="73" t="s">
        <v>21</v>
      </c>
      <c r="I102" s="73" t="s">
        <v>22</v>
      </c>
      <c r="J102" s="73" t="s">
        <v>25</v>
      </c>
      <c r="K102" s="73" t="s">
        <v>21</v>
      </c>
      <c r="L102" s="80" t="s">
        <v>23</v>
      </c>
      <c r="M102" s="85" t="s">
        <v>124</v>
      </c>
      <c r="N102" s="85" t="s">
        <v>124</v>
      </c>
      <c r="O102" s="72"/>
      <c r="P102" s="72"/>
      <c r="Q102" s="72"/>
      <c r="R102" s="72"/>
      <c r="S102" s="72"/>
      <c r="T102" s="72"/>
      <c r="U102" s="73"/>
      <c r="V102" s="73"/>
      <c r="W102" s="73"/>
      <c r="X102" s="39"/>
      <c r="Y102" s="39" t="s">
        <v>124</v>
      </c>
      <c r="Z102" s="39" t="s">
        <v>124</v>
      </c>
      <c r="AA102" s="39" t="s">
        <v>124</v>
      </c>
      <c r="AB102" s="40" t="s">
        <v>123</v>
      </c>
      <c r="AC102" s="9" t="s">
        <v>3</v>
      </c>
      <c r="AD102" s="34">
        <f>(802.7+599.9)</f>
        <v>1402.6</v>
      </c>
      <c r="AE102" s="88">
        <v>0</v>
      </c>
      <c r="AF102" s="88">
        <v>0</v>
      </c>
      <c r="AG102" s="88">
        <v>1037</v>
      </c>
      <c r="AH102" s="88">
        <v>0</v>
      </c>
      <c r="AI102" s="88">
        <v>0</v>
      </c>
      <c r="AJ102" s="88">
        <v>0</v>
      </c>
      <c r="AK102" s="88">
        <f>SUM(AD102:AJ102)</f>
        <v>2439.6</v>
      </c>
      <c r="AL102" s="19">
        <v>2024</v>
      </c>
      <c r="AM102" s="2" t="s">
        <v>137</v>
      </c>
      <c r="AN102" s="213">
        <f>AG103</f>
        <v>19402.400000000001</v>
      </c>
      <c r="AQ102" s="3"/>
      <c r="AR102" s="3"/>
      <c r="AS102" s="3"/>
      <c r="AT102" s="192"/>
      <c r="AU102" s="193"/>
      <c r="AV102" s="3"/>
      <c r="AW102" s="3"/>
      <c r="AX102" s="3"/>
      <c r="AY102" s="3"/>
      <c r="AZ102" s="3"/>
    </row>
    <row r="103" spans="1:52" s="2" customFormat="1" ht="56.25" customHeight="1" x14ac:dyDescent="0.25">
      <c r="A103" s="115" t="s">
        <v>21</v>
      </c>
      <c r="B103" s="115" t="s">
        <v>26</v>
      </c>
      <c r="C103" s="115" t="s">
        <v>25</v>
      </c>
      <c r="D103" s="115" t="s">
        <v>21</v>
      </c>
      <c r="E103" s="115" t="s">
        <v>27</v>
      </c>
      <c r="F103" s="115" t="s">
        <v>21</v>
      </c>
      <c r="G103" s="115" t="s">
        <v>24</v>
      </c>
      <c r="H103" s="115" t="s">
        <v>21</v>
      </c>
      <c r="I103" s="115" t="s">
        <v>22</v>
      </c>
      <c r="J103" s="115" t="s">
        <v>25</v>
      </c>
      <c r="K103" s="115" t="s">
        <v>21</v>
      </c>
      <c r="L103" s="115" t="s">
        <v>23</v>
      </c>
      <c r="M103" s="115" t="s">
        <v>23</v>
      </c>
      <c r="N103" s="115" t="s">
        <v>21</v>
      </c>
      <c r="O103" s="114"/>
      <c r="P103" s="114"/>
      <c r="Q103" s="114"/>
      <c r="R103" s="114"/>
      <c r="S103" s="114"/>
      <c r="T103" s="114"/>
      <c r="U103" s="115"/>
      <c r="V103" s="115"/>
      <c r="W103" s="115"/>
      <c r="X103" s="39"/>
      <c r="Y103" s="39" t="s">
        <v>126</v>
      </c>
      <c r="Z103" s="39" t="s">
        <v>21</v>
      </c>
      <c r="AA103" s="39" t="s">
        <v>21</v>
      </c>
      <c r="AB103" s="108" t="s">
        <v>151</v>
      </c>
      <c r="AC103" s="109" t="s">
        <v>3</v>
      </c>
      <c r="AD103" s="34">
        <f>(9278374.23+198655.77)/1000</f>
        <v>9477.0300000000007</v>
      </c>
      <c r="AE103" s="88">
        <v>0</v>
      </c>
      <c r="AF103" s="88">
        <v>28911.599999999999</v>
      </c>
      <c r="AG103" s="88">
        <v>19402.400000000001</v>
      </c>
      <c r="AH103" s="88">
        <v>0</v>
      </c>
      <c r="AI103" s="88">
        <v>0</v>
      </c>
      <c r="AJ103" s="88">
        <v>0</v>
      </c>
      <c r="AK103" s="88">
        <f>SUM(AD103:AJ103)</f>
        <v>57791.03</v>
      </c>
      <c r="AL103" s="19">
        <v>2024</v>
      </c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1:52" s="2" customFormat="1" ht="45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0"/>
      <c r="P104" s="70"/>
      <c r="Q104" s="70"/>
      <c r="R104" s="70"/>
      <c r="S104" s="70"/>
      <c r="T104" s="70"/>
      <c r="U104" s="71"/>
      <c r="V104" s="71"/>
      <c r="W104" s="71"/>
      <c r="X104" s="39"/>
      <c r="Y104" s="39"/>
      <c r="Z104" s="39"/>
      <c r="AA104" s="39"/>
      <c r="AB104" s="40" t="s">
        <v>71</v>
      </c>
      <c r="AC104" s="9" t="s">
        <v>35</v>
      </c>
      <c r="AD104" s="34">
        <v>0.83509999999999995</v>
      </c>
      <c r="AE104" s="88">
        <v>0</v>
      </c>
      <c r="AF104" s="88">
        <v>1.3</v>
      </c>
      <c r="AG104" s="88">
        <v>1.5</v>
      </c>
      <c r="AH104" s="88">
        <v>1.5</v>
      </c>
      <c r="AI104" s="88">
        <v>1.5</v>
      </c>
      <c r="AJ104" s="88">
        <v>1.5</v>
      </c>
      <c r="AK104" s="88">
        <f>SUM(AD104:AJ104)</f>
        <v>8.1350999999999996</v>
      </c>
      <c r="AL104" s="19">
        <v>2027</v>
      </c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1:52" ht="38.25" customHeight="1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5"/>
      <c r="P105" s="65"/>
      <c r="Q105" s="65"/>
      <c r="R105" s="65"/>
      <c r="S105" s="65"/>
      <c r="T105" s="65" t="s">
        <v>47</v>
      </c>
      <c r="U105" s="66"/>
      <c r="V105" s="66"/>
      <c r="W105" s="66"/>
      <c r="X105" s="39"/>
      <c r="Y105" s="39"/>
      <c r="Z105" s="39"/>
      <c r="AA105" s="39"/>
      <c r="AB105" s="40" t="s">
        <v>64</v>
      </c>
      <c r="AC105" s="9" t="s">
        <v>49</v>
      </c>
      <c r="AD105" s="19">
        <v>1</v>
      </c>
      <c r="AE105" s="89">
        <v>1</v>
      </c>
      <c r="AF105" s="89">
        <v>1</v>
      </c>
      <c r="AG105" s="89">
        <v>1</v>
      </c>
      <c r="AH105" s="89">
        <v>1</v>
      </c>
      <c r="AI105" s="19">
        <v>1</v>
      </c>
      <c r="AJ105" s="19">
        <v>1</v>
      </c>
      <c r="AK105" s="19">
        <v>1</v>
      </c>
      <c r="AL105" s="19">
        <v>2027</v>
      </c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</row>
    <row r="106" spans="1:52" ht="48" customHeight="1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5"/>
      <c r="P106" s="65"/>
      <c r="Q106" s="65"/>
      <c r="R106" s="65"/>
      <c r="S106" s="65"/>
      <c r="T106" s="65"/>
      <c r="U106" s="66"/>
      <c r="V106" s="66"/>
      <c r="W106" s="66"/>
      <c r="X106" s="39"/>
      <c r="Y106" s="39"/>
      <c r="Z106" s="39"/>
      <c r="AA106" s="39"/>
      <c r="AB106" s="40" t="s">
        <v>118</v>
      </c>
      <c r="AC106" s="9" t="s">
        <v>36</v>
      </c>
      <c r="AD106" s="18">
        <v>313618.5</v>
      </c>
      <c r="AE106" s="91">
        <f>AD106*0.99</f>
        <v>310482.315</v>
      </c>
      <c r="AF106" s="91">
        <f>AE106*0.99</f>
        <v>307377.49184999999</v>
      </c>
      <c r="AG106" s="91">
        <f>AF106*0.99</f>
        <v>304303.71693150001</v>
      </c>
      <c r="AH106" s="91">
        <f>AG106*0.99</f>
        <v>301260.67976218503</v>
      </c>
      <c r="AI106" s="218">
        <f>AH106*0.99</f>
        <v>298248.07296456315</v>
      </c>
      <c r="AJ106" s="218">
        <f>AI106-3015</f>
        <v>295233.07296456315</v>
      </c>
      <c r="AK106" s="218">
        <f>AJ106</f>
        <v>295233.07296456315</v>
      </c>
      <c r="AL106" s="19">
        <v>2027</v>
      </c>
      <c r="AN106" s="196">
        <f>AH106-AI106</f>
        <v>3012.6067976218765</v>
      </c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</row>
    <row r="107" spans="1:52" ht="31.5" customHeight="1" x14ac:dyDescent="0.25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5"/>
      <c r="P107" s="65"/>
      <c r="Q107" s="65"/>
      <c r="R107" s="65"/>
      <c r="S107" s="65"/>
      <c r="T107" s="65"/>
      <c r="U107" s="66"/>
      <c r="V107" s="66"/>
      <c r="W107" s="66"/>
      <c r="X107" s="39"/>
      <c r="Y107" s="39"/>
      <c r="Z107" s="39"/>
      <c r="AA107" s="39"/>
      <c r="AB107" s="40" t="s">
        <v>119</v>
      </c>
      <c r="AC107" s="9" t="s">
        <v>0</v>
      </c>
      <c r="AD107" s="18">
        <v>750622.8</v>
      </c>
      <c r="AE107" s="91">
        <f t="shared" ref="AE107:AI108" si="10">AD107*0.99</f>
        <v>743116.57200000004</v>
      </c>
      <c r="AF107" s="91">
        <f t="shared" si="10"/>
        <v>735685.40628</v>
      </c>
      <c r="AG107" s="91">
        <f t="shared" si="10"/>
        <v>728328.55221719993</v>
      </c>
      <c r="AH107" s="91">
        <f t="shared" si="10"/>
        <v>721045.26669502794</v>
      </c>
      <c r="AI107" s="218">
        <f t="shared" si="10"/>
        <v>713834.81402807764</v>
      </c>
      <c r="AJ107" s="218">
        <f>AI107-7150</f>
        <v>706684.81402807764</v>
      </c>
      <c r="AK107" s="218">
        <f>AJ107</f>
        <v>706684.81402807764</v>
      </c>
      <c r="AL107" s="19">
        <v>2027</v>
      </c>
      <c r="AN107" s="196">
        <f>AH107-AI107</f>
        <v>7210.4526669502957</v>
      </c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</row>
    <row r="108" spans="1:52" ht="38.25" customHeight="1" x14ac:dyDescent="0.25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5"/>
      <c r="P108" s="65"/>
      <c r="Q108" s="65"/>
      <c r="R108" s="65"/>
      <c r="S108" s="65"/>
      <c r="T108" s="65"/>
      <c r="U108" s="66"/>
      <c r="V108" s="66"/>
      <c r="W108" s="66"/>
      <c r="X108" s="39"/>
      <c r="Y108" s="39"/>
      <c r="Z108" s="39"/>
      <c r="AA108" s="39"/>
      <c r="AB108" s="40" t="s">
        <v>120</v>
      </c>
      <c r="AC108" s="9" t="s">
        <v>12</v>
      </c>
      <c r="AD108" s="18">
        <v>10083407</v>
      </c>
      <c r="AE108" s="91">
        <f t="shared" si="10"/>
        <v>9982572.9299999997</v>
      </c>
      <c r="AF108" s="91">
        <f t="shared" si="10"/>
        <v>9882747.2006999999</v>
      </c>
      <c r="AG108" s="91">
        <f t="shared" si="10"/>
        <v>9783919.7286929991</v>
      </c>
      <c r="AH108" s="91">
        <f t="shared" si="10"/>
        <v>9686080.5314060692</v>
      </c>
      <c r="AI108" s="218">
        <f t="shared" si="10"/>
        <v>9589219.7260920089</v>
      </c>
      <c r="AJ108" s="218">
        <f>AI108-96800</f>
        <v>9492419.7260920089</v>
      </c>
      <c r="AK108" s="218">
        <f>AJ108</f>
        <v>9492419.7260920089</v>
      </c>
      <c r="AL108" s="19">
        <v>2027</v>
      </c>
      <c r="AN108" s="196">
        <f>AH108-AI108</f>
        <v>96860.805314060301</v>
      </c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</row>
    <row r="109" spans="1:52" ht="50.25" customHeight="1" x14ac:dyDescent="0.25">
      <c r="A109" s="57"/>
      <c r="B109" s="57"/>
      <c r="C109" s="57"/>
      <c r="D109" s="57"/>
      <c r="E109" s="57"/>
      <c r="F109" s="57"/>
      <c r="G109" s="57"/>
      <c r="H109" s="57" t="s">
        <v>21</v>
      </c>
      <c r="I109" s="57" t="s">
        <v>22</v>
      </c>
      <c r="J109" s="57" t="s">
        <v>25</v>
      </c>
      <c r="K109" s="57" t="s">
        <v>21</v>
      </c>
      <c r="L109" s="57" t="s">
        <v>24</v>
      </c>
      <c r="M109" s="57" t="s">
        <v>21</v>
      </c>
      <c r="N109" s="57" t="s">
        <v>21</v>
      </c>
      <c r="O109" s="58"/>
      <c r="P109" s="58"/>
      <c r="Q109" s="58"/>
      <c r="R109" s="58"/>
      <c r="S109" s="58" t="s">
        <v>48</v>
      </c>
      <c r="T109" s="58"/>
      <c r="U109" s="57"/>
      <c r="V109" s="57"/>
      <c r="W109" s="57"/>
      <c r="X109" s="59"/>
      <c r="Y109" s="59" t="s">
        <v>21</v>
      </c>
      <c r="Z109" s="59" t="s">
        <v>21</v>
      </c>
      <c r="AA109" s="59" t="s">
        <v>21</v>
      </c>
      <c r="AB109" s="69" t="s">
        <v>106</v>
      </c>
      <c r="AC109" s="60" t="s">
        <v>3</v>
      </c>
      <c r="AD109" s="61">
        <v>0</v>
      </c>
      <c r="AE109" s="61">
        <v>0</v>
      </c>
      <c r="AF109" s="61">
        <v>0</v>
      </c>
      <c r="AG109" s="61">
        <f>AG111</f>
        <v>0</v>
      </c>
      <c r="AH109" s="61">
        <f>AH111</f>
        <v>0</v>
      </c>
      <c r="AI109" s="61">
        <f>AI111</f>
        <v>0</v>
      </c>
      <c r="AJ109" s="61">
        <v>0</v>
      </c>
      <c r="AK109" s="61">
        <f>SUM(AD109:AI109)</f>
        <v>0</v>
      </c>
      <c r="AL109" s="62">
        <v>2027</v>
      </c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</row>
    <row r="110" spans="1:52" ht="40.5" customHeight="1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1"/>
      <c r="P110" s="81"/>
      <c r="Q110" s="81"/>
      <c r="R110" s="81"/>
      <c r="S110" s="81"/>
      <c r="T110" s="81"/>
      <c r="U110" s="82"/>
      <c r="V110" s="82"/>
      <c r="W110" s="82"/>
      <c r="X110" s="39"/>
      <c r="Y110" s="39"/>
      <c r="Z110" s="39"/>
      <c r="AA110" s="39"/>
      <c r="AB110" s="40" t="s">
        <v>116</v>
      </c>
      <c r="AC110" s="9" t="s">
        <v>7</v>
      </c>
      <c r="AD110" s="19">
        <f>AD113</f>
        <v>17</v>
      </c>
      <c r="AE110" s="89">
        <f t="shared" ref="AE110:AK110" si="11">AE113</f>
        <v>17</v>
      </c>
      <c r="AF110" s="89">
        <f t="shared" si="11"/>
        <v>10</v>
      </c>
      <c r="AG110" s="89">
        <f t="shared" si="11"/>
        <v>6</v>
      </c>
      <c r="AH110" s="89">
        <f t="shared" si="11"/>
        <v>3</v>
      </c>
      <c r="AI110" s="19">
        <f t="shared" si="11"/>
        <v>0</v>
      </c>
      <c r="AJ110" s="19">
        <v>0</v>
      </c>
      <c r="AK110" s="19">
        <f t="shared" si="11"/>
        <v>0</v>
      </c>
      <c r="AL110" s="19">
        <v>2027</v>
      </c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</row>
    <row r="111" spans="1:52" ht="35.25" customHeight="1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1"/>
      <c r="P111" s="81"/>
      <c r="Q111" s="81"/>
      <c r="R111" s="81"/>
      <c r="S111" s="81"/>
      <c r="T111" s="81"/>
      <c r="U111" s="82"/>
      <c r="V111" s="82"/>
      <c r="W111" s="82"/>
      <c r="X111" s="39"/>
      <c r="Y111" s="39"/>
      <c r="Z111" s="39"/>
      <c r="AA111" s="39"/>
      <c r="AB111" s="86" t="s">
        <v>114</v>
      </c>
      <c r="AC111" s="87" t="s">
        <v>3</v>
      </c>
      <c r="AD111" s="91">
        <v>0</v>
      </c>
      <c r="AE111" s="91">
        <v>0</v>
      </c>
      <c r="AF111" s="91">
        <v>0</v>
      </c>
      <c r="AG111" s="162">
        <v>0</v>
      </c>
      <c r="AH111" s="162">
        <v>0</v>
      </c>
      <c r="AI111" s="162">
        <v>0</v>
      </c>
      <c r="AJ111" s="162">
        <v>0</v>
      </c>
      <c r="AK111" s="162">
        <f>SUM(AD111:AI111)</f>
        <v>0</v>
      </c>
      <c r="AL111" s="89">
        <v>2027</v>
      </c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</row>
    <row r="112" spans="1:52" ht="45.75" hidden="1" customHeight="1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1"/>
      <c r="P112" s="81"/>
      <c r="Q112" s="81"/>
      <c r="R112" s="81"/>
      <c r="S112" s="81"/>
      <c r="T112" s="81"/>
      <c r="U112" s="82"/>
      <c r="V112" s="82"/>
      <c r="W112" s="82"/>
      <c r="X112" s="39"/>
      <c r="Y112" s="39"/>
      <c r="Z112" s="39"/>
      <c r="AA112" s="39"/>
      <c r="AB112" s="217" t="s">
        <v>115</v>
      </c>
      <c r="AC112" s="9" t="s">
        <v>2</v>
      </c>
      <c r="AD112" s="19">
        <v>0</v>
      </c>
      <c r="AE112" s="89">
        <v>0</v>
      </c>
      <c r="AF112" s="89">
        <v>0</v>
      </c>
      <c r="AG112" s="89">
        <v>0</v>
      </c>
      <c r="AH112" s="89">
        <v>0</v>
      </c>
      <c r="AI112" s="19">
        <v>0</v>
      </c>
      <c r="AJ112" s="19">
        <v>0</v>
      </c>
      <c r="AK112" s="19">
        <v>0</v>
      </c>
      <c r="AL112" s="19">
        <v>2027</v>
      </c>
      <c r="AN112" s="10" t="s">
        <v>197</v>
      </c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</row>
    <row r="113" spans="1:52" ht="30" customHeight="1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1"/>
      <c r="P113" s="81"/>
      <c r="Q113" s="81"/>
      <c r="R113" s="81"/>
      <c r="S113" s="81"/>
      <c r="T113" s="81"/>
      <c r="U113" s="82"/>
      <c r="V113" s="82"/>
      <c r="W113" s="82"/>
      <c r="X113" s="39"/>
      <c r="Y113" s="39"/>
      <c r="Z113" s="39"/>
      <c r="AA113" s="39"/>
      <c r="AB113" s="86" t="s">
        <v>90</v>
      </c>
      <c r="AC113" s="9" t="s">
        <v>7</v>
      </c>
      <c r="AD113" s="19">
        <v>17</v>
      </c>
      <c r="AE113" s="89">
        <v>17</v>
      </c>
      <c r="AF113" s="89">
        <v>10</v>
      </c>
      <c r="AG113" s="89">
        <v>6</v>
      </c>
      <c r="AH113" s="89">
        <v>3</v>
      </c>
      <c r="AI113" s="19">
        <v>0</v>
      </c>
      <c r="AJ113" s="19">
        <v>0</v>
      </c>
      <c r="AK113" s="19">
        <v>0</v>
      </c>
      <c r="AL113" s="19">
        <v>2027</v>
      </c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</row>
    <row r="114" spans="1:52" ht="78.75" customHeight="1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1"/>
      <c r="P114" s="81"/>
      <c r="Q114" s="81"/>
      <c r="R114" s="81"/>
      <c r="S114" s="81"/>
      <c r="T114" s="81"/>
      <c r="U114" s="82"/>
      <c r="V114" s="82"/>
      <c r="W114" s="82"/>
      <c r="X114" s="39"/>
      <c r="Y114" s="39"/>
      <c r="Z114" s="39"/>
      <c r="AA114" s="39"/>
      <c r="AB114" s="40" t="s">
        <v>113</v>
      </c>
      <c r="AC114" s="9" t="s">
        <v>49</v>
      </c>
      <c r="AD114" s="19">
        <v>1</v>
      </c>
      <c r="AE114" s="89">
        <v>1</v>
      </c>
      <c r="AF114" s="89">
        <v>1</v>
      </c>
      <c r="AG114" s="89">
        <v>1</v>
      </c>
      <c r="AH114" s="89">
        <v>1</v>
      </c>
      <c r="AI114" s="19">
        <v>1</v>
      </c>
      <c r="AJ114" s="19">
        <v>1</v>
      </c>
      <c r="AK114" s="19">
        <v>1</v>
      </c>
      <c r="AL114" s="19">
        <v>2027</v>
      </c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</row>
    <row r="115" spans="1:52" ht="88.5" customHeight="1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1"/>
      <c r="P115" s="81"/>
      <c r="Q115" s="81"/>
      <c r="R115" s="81"/>
      <c r="S115" s="81"/>
      <c r="T115" s="81"/>
      <c r="U115" s="82"/>
      <c r="V115" s="82"/>
      <c r="W115" s="82"/>
      <c r="X115" s="39"/>
      <c r="Y115" s="39"/>
      <c r="Z115" s="39"/>
      <c r="AA115" s="39"/>
      <c r="AB115" s="40" t="s">
        <v>107</v>
      </c>
      <c r="AC115" s="9" t="s">
        <v>7</v>
      </c>
      <c r="AD115" s="19">
        <v>100</v>
      </c>
      <c r="AE115" s="89">
        <v>100</v>
      </c>
      <c r="AF115" s="89">
        <v>100</v>
      </c>
      <c r="AG115" s="89">
        <v>100</v>
      </c>
      <c r="AH115" s="89">
        <v>100</v>
      </c>
      <c r="AI115" s="19">
        <v>100</v>
      </c>
      <c r="AJ115" s="19">
        <v>100</v>
      </c>
      <c r="AK115" s="19">
        <v>100</v>
      </c>
      <c r="AL115" s="19">
        <v>2027</v>
      </c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</row>
    <row r="116" spans="1:52" s="74" customFormat="1" ht="46.5" customHeight="1" x14ac:dyDescent="0.25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  <c r="P116" s="58"/>
      <c r="Q116" s="58"/>
      <c r="R116" s="58"/>
      <c r="S116" s="58" t="s">
        <v>48</v>
      </c>
      <c r="T116" s="58"/>
      <c r="U116" s="57"/>
      <c r="V116" s="57"/>
      <c r="W116" s="57"/>
      <c r="X116" s="59"/>
      <c r="Y116" s="59"/>
      <c r="Z116" s="59"/>
      <c r="AA116" s="59"/>
      <c r="AB116" s="69" t="s">
        <v>140</v>
      </c>
      <c r="AC116" s="60" t="s">
        <v>3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2">
        <v>2027</v>
      </c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</row>
    <row r="117" spans="1:52" s="2" customFormat="1" ht="52.5" customHeight="1" x14ac:dyDescent="0.25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0"/>
      <c r="P117" s="70"/>
      <c r="Q117" s="70"/>
      <c r="R117" s="70"/>
      <c r="S117" s="70"/>
      <c r="T117" s="70"/>
      <c r="U117" s="71"/>
      <c r="V117" s="71"/>
      <c r="W117" s="71"/>
      <c r="X117" s="39"/>
      <c r="Y117" s="39"/>
      <c r="Z117" s="39"/>
      <c r="AA117" s="39"/>
      <c r="AB117" s="40" t="s">
        <v>141</v>
      </c>
      <c r="AC117" s="9" t="s">
        <v>7</v>
      </c>
      <c r="AD117" s="8">
        <v>100</v>
      </c>
      <c r="AE117" s="90">
        <v>100</v>
      </c>
      <c r="AF117" s="90">
        <v>100</v>
      </c>
      <c r="AG117" s="90">
        <v>100</v>
      </c>
      <c r="AH117" s="90">
        <v>100</v>
      </c>
      <c r="AI117" s="8">
        <v>100</v>
      </c>
      <c r="AJ117" s="8">
        <v>100</v>
      </c>
      <c r="AK117" s="8">
        <v>100</v>
      </c>
      <c r="AL117" s="19">
        <v>2027</v>
      </c>
      <c r="AQ117" s="3"/>
      <c r="AR117" s="3"/>
      <c r="AS117" s="3"/>
      <c r="AT117" s="3"/>
      <c r="AU117" s="3"/>
      <c r="AV117" s="3"/>
      <c r="AW117" s="3"/>
      <c r="AX117" s="3"/>
      <c r="AY117" s="3"/>
      <c r="AZ117" s="3"/>
    </row>
    <row r="118" spans="1:52" s="2" customFormat="1" ht="39.75" customHeight="1" x14ac:dyDescent="0.25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0"/>
      <c r="P118" s="70"/>
      <c r="Q118" s="70"/>
      <c r="R118" s="70"/>
      <c r="S118" s="70"/>
      <c r="T118" s="70"/>
      <c r="U118" s="71"/>
      <c r="V118" s="71"/>
      <c r="W118" s="71"/>
      <c r="X118" s="39"/>
      <c r="Y118" s="39"/>
      <c r="Z118" s="39"/>
      <c r="AA118" s="39"/>
      <c r="AB118" s="40" t="s">
        <v>142</v>
      </c>
      <c r="AC118" s="9" t="s">
        <v>7</v>
      </c>
      <c r="AD118" s="8">
        <v>100</v>
      </c>
      <c r="AE118" s="90">
        <v>100</v>
      </c>
      <c r="AF118" s="90">
        <v>100</v>
      </c>
      <c r="AG118" s="90">
        <v>100</v>
      </c>
      <c r="AH118" s="90">
        <v>100</v>
      </c>
      <c r="AI118" s="8">
        <v>100</v>
      </c>
      <c r="AJ118" s="8">
        <v>100</v>
      </c>
      <c r="AK118" s="8">
        <v>100</v>
      </c>
      <c r="AL118" s="19">
        <v>2027</v>
      </c>
      <c r="AQ118" s="3"/>
      <c r="AR118" s="3"/>
      <c r="AS118" s="3"/>
      <c r="AT118" s="3"/>
      <c r="AU118" s="3"/>
      <c r="AV118" s="3"/>
      <c r="AW118" s="3"/>
      <c r="AX118" s="3"/>
      <c r="AY118" s="3"/>
      <c r="AZ118" s="3"/>
    </row>
    <row r="119" spans="1:52" s="2" customFormat="1" ht="44.25" customHeight="1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0"/>
      <c r="P119" s="70"/>
      <c r="Q119" s="70"/>
      <c r="R119" s="70"/>
      <c r="S119" s="70"/>
      <c r="T119" s="70"/>
      <c r="U119" s="71"/>
      <c r="V119" s="71"/>
      <c r="W119" s="71"/>
      <c r="X119" s="39"/>
      <c r="Y119" s="39"/>
      <c r="Z119" s="39"/>
      <c r="AA119" s="39"/>
      <c r="AB119" s="40" t="s">
        <v>143</v>
      </c>
      <c r="AC119" s="9" t="s">
        <v>7</v>
      </c>
      <c r="AD119" s="8">
        <v>100</v>
      </c>
      <c r="AE119" s="90">
        <v>100</v>
      </c>
      <c r="AF119" s="90">
        <v>100</v>
      </c>
      <c r="AG119" s="90">
        <v>100</v>
      </c>
      <c r="AH119" s="90">
        <v>100</v>
      </c>
      <c r="AI119" s="8">
        <v>100</v>
      </c>
      <c r="AJ119" s="8">
        <v>100</v>
      </c>
      <c r="AK119" s="8">
        <v>100</v>
      </c>
      <c r="AL119" s="19">
        <v>2027</v>
      </c>
      <c r="AQ119" s="3"/>
      <c r="AR119" s="3"/>
      <c r="AS119" s="3"/>
      <c r="AT119" s="3"/>
      <c r="AU119" s="3"/>
      <c r="AV119" s="3"/>
      <c r="AW119" s="3"/>
      <c r="AX119" s="3"/>
      <c r="AY119" s="3"/>
      <c r="AZ119" s="3"/>
    </row>
    <row r="120" spans="1:52" s="2" customFormat="1" ht="69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7"/>
      <c r="P120" s="77"/>
      <c r="Q120" s="77"/>
      <c r="R120" s="77"/>
      <c r="S120" s="77"/>
      <c r="T120" s="77"/>
      <c r="U120" s="78"/>
      <c r="V120" s="78"/>
      <c r="W120" s="78"/>
      <c r="X120" s="39"/>
      <c r="Y120" s="39"/>
      <c r="Z120" s="39"/>
      <c r="AA120" s="39"/>
      <c r="AB120" s="40" t="s">
        <v>145</v>
      </c>
      <c r="AC120" s="9" t="s">
        <v>49</v>
      </c>
      <c r="AD120" s="8">
        <v>1</v>
      </c>
      <c r="AE120" s="90">
        <v>1</v>
      </c>
      <c r="AF120" s="90">
        <v>1</v>
      </c>
      <c r="AG120" s="90">
        <v>1</v>
      </c>
      <c r="AH120" s="90">
        <v>1</v>
      </c>
      <c r="AI120" s="8">
        <v>1</v>
      </c>
      <c r="AJ120" s="8">
        <v>1</v>
      </c>
      <c r="AK120" s="8">
        <v>1</v>
      </c>
      <c r="AL120" s="19">
        <v>2027</v>
      </c>
      <c r="AQ120" s="3"/>
      <c r="AR120" s="3"/>
      <c r="AS120" s="3"/>
      <c r="AT120" s="3"/>
      <c r="AU120" s="3"/>
      <c r="AV120" s="3"/>
      <c r="AW120" s="3"/>
      <c r="AX120" s="3"/>
      <c r="AY120" s="3"/>
      <c r="AZ120" s="3"/>
    </row>
    <row r="121" spans="1:52" s="2" customFormat="1" ht="45" customHeight="1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2"/>
      <c r="P121" s="72"/>
      <c r="Q121" s="72"/>
      <c r="R121" s="72"/>
      <c r="S121" s="72"/>
      <c r="T121" s="72"/>
      <c r="U121" s="73"/>
      <c r="V121" s="73"/>
      <c r="W121" s="73"/>
      <c r="X121" s="39"/>
      <c r="Y121" s="39"/>
      <c r="Z121" s="39"/>
      <c r="AA121" s="39"/>
      <c r="AB121" s="40" t="s">
        <v>146</v>
      </c>
      <c r="AC121" s="9" t="s">
        <v>7</v>
      </c>
      <c r="AD121" s="8">
        <v>100</v>
      </c>
      <c r="AE121" s="90">
        <v>100</v>
      </c>
      <c r="AF121" s="90">
        <v>100</v>
      </c>
      <c r="AG121" s="90">
        <v>100</v>
      </c>
      <c r="AH121" s="90">
        <v>100</v>
      </c>
      <c r="AI121" s="8">
        <v>100</v>
      </c>
      <c r="AJ121" s="8">
        <v>100</v>
      </c>
      <c r="AK121" s="8">
        <v>100</v>
      </c>
      <c r="AL121" s="19">
        <v>2027</v>
      </c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s="2" customFormat="1" ht="37.5" customHeight="1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2"/>
      <c r="P122" s="72"/>
      <c r="Q122" s="72"/>
      <c r="R122" s="72"/>
      <c r="S122" s="72"/>
      <c r="T122" s="72"/>
      <c r="U122" s="73"/>
      <c r="V122" s="73"/>
      <c r="W122" s="73"/>
      <c r="X122" s="39"/>
      <c r="Y122" s="39"/>
      <c r="Z122" s="39"/>
      <c r="AA122" s="39"/>
      <c r="AB122" s="40" t="s">
        <v>147</v>
      </c>
      <c r="AC122" s="9" t="s">
        <v>2</v>
      </c>
      <c r="AD122" s="8">
        <v>1</v>
      </c>
      <c r="AE122" s="90">
        <v>1</v>
      </c>
      <c r="AF122" s="90">
        <v>1</v>
      </c>
      <c r="AG122" s="90">
        <v>1</v>
      </c>
      <c r="AH122" s="90">
        <v>0</v>
      </c>
      <c r="AI122" s="90">
        <v>0</v>
      </c>
      <c r="AJ122" s="90">
        <v>0</v>
      </c>
      <c r="AK122" s="90">
        <v>4</v>
      </c>
      <c r="AL122" s="19">
        <v>2027</v>
      </c>
      <c r="AQ122" s="3"/>
      <c r="AR122" s="3"/>
      <c r="AS122" s="3"/>
      <c r="AT122" s="3"/>
      <c r="AU122" s="3"/>
      <c r="AV122" s="3"/>
      <c r="AW122" s="3"/>
      <c r="AX122" s="3"/>
      <c r="AY122" s="3"/>
      <c r="AZ122" s="3"/>
    </row>
    <row r="123" spans="1:52" s="2" customFormat="1" ht="39" customHeight="1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2"/>
      <c r="P123" s="72"/>
      <c r="Q123" s="72"/>
      <c r="R123" s="72"/>
      <c r="S123" s="72"/>
      <c r="T123" s="72"/>
      <c r="U123" s="73"/>
      <c r="V123" s="73"/>
      <c r="W123" s="73"/>
      <c r="X123" s="39"/>
      <c r="Y123" s="39"/>
      <c r="Z123" s="39"/>
      <c r="AA123" s="39"/>
      <c r="AB123" s="40" t="s">
        <v>148</v>
      </c>
      <c r="AC123" s="9" t="s">
        <v>2</v>
      </c>
      <c r="AD123" s="8">
        <v>1</v>
      </c>
      <c r="AE123" s="90">
        <v>1</v>
      </c>
      <c r="AF123" s="90">
        <v>1</v>
      </c>
      <c r="AG123" s="90">
        <v>1</v>
      </c>
      <c r="AH123" s="90">
        <v>0</v>
      </c>
      <c r="AI123" s="90">
        <v>0</v>
      </c>
      <c r="AJ123" s="90">
        <v>0</v>
      </c>
      <c r="AK123" s="90">
        <f>SUM(AD123:AJ123)</f>
        <v>4</v>
      </c>
      <c r="AL123" s="19">
        <v>2027</v>
      </c>
      <c r="AQ123" s="3"/>
      <c r="AR123" s="3"/>
      <c r="AS123" s="3"/>
      <c r="AT123" s="3"/>
      <c r="AU123" s="3"/>
      <c r="AV123" s="3"/>
      <c r="AW123" s="3"/>
      <c r="AX123" s="3"/>
      <c r="AY123" s="3"/>
      <c r="AZ123" s="3"/>
    </row>
    <row r="124" spans="1:52" s="2" customFormat="1" ht="50.25" customHeight="1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4"/>
      <c r="P124" s="94"/>
      <c r="Q124" s="94"/>
      <c r="R124" s="94"/>
      <c r="S124" s="94"/>
      <c r="T124" s="94"/>
      <c r="U124" s="95"/>
      <c r="V124" s="95"/>
      <c r="W124" s="95"/>
      <c r="X124" s="39"/>
      <c r="Y124" s="39"/>
      <c r="Z124" s="39"/>
      <c r="AA124" s="39"/>
      <c r="AB124" s="40" t="s">
        <v>144</v>
      </c>
      <c r="AC124" s="9" t="s">
        <v>2</v>
      </c>
      <c r="AD124" s="8">
        <v>0</v>
      </c>
      <c r="AE124" s="90">
        <v>0</v>
      </c>
      <c r="AF124" s="90">
        <v>0</v>
      </c>
      <c r="AG124" s="90">
        <v>1</v>
      </c>
      <c r="AH124" s="90">
        <v>1</v>
      </c>
      <c r="AI124" s="90">
        <v>1</v>
      </c>
      <c r="AJ124" s="90">
        <v>1</v>
      </c>
      <c r="AK124" s="90">
        <v>1</v>
      </c>
      <c r="AL124" s="19">
        <v>2027</v>
      </c>
      <c r="AQ124" s="3"/>
      <c r="AR124" s="3"/>
      <c r="AS124" s="3"/>
      <c r="AT124" s="3"/>
      <c r="AU124" s="3"/>
      <c r="AV124" s="3"/>
      <c r="AW124" s="3"/>
      <c r="AX124" s="3"/>
      <c r="AY124" s="3"/>
      <c r="AZ124" s="3"/>
    </row>
    <row r="125" spans="1:52" s="2" customFormat="1" ht="90" customHeight="1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1"/>
      <c r="P125" s="81"/>
      <c r="Q125" s="81"/>
      <c r="R125" s="81"/>
      <c r="S125" s="81"/>
      <c r="T125" s="81"/>
      <c r="U125" s="82"/>
      <c r="V125" s="82"/>
      <c r="W125" s="82"/>
      <c r="X125" s="39"/>
      <c r="Y125" s="39"/>
      <c r="Z125" s="39"/>
      <c r="AA125" s="39"/>
      <c r="AB125" s="40" t="s">
        <v>112</v>
      </c>
      <c r="AC125" s="9" t="s">
        <v>49</v>
      </c>
      <c r="AD125" s="8">
        <v>1</v>
      </c>
      <c r="AE125" s="90">
        <v>1</v>
      </c>
      <c r="AF125" s="90">
        <v>1</v>
      </c>
      <c r="AG125" s="90">
        <v>1</v>
      </c>
      <c r="AH125" s="90">
        <v>1</v>
      </c>
      <c r="AI125" s="8">
        <v>1</v>
      </c>
      <c r="AJ125" s="8">
        <v>1</v>
      </c>
      <c r="AK125" s="8">
        <v>1</v>
      </c>
      <c r="AL125" s="19">
        <v>2027</v>
      </c>
      <c r="AQ125" s="3"/>
      <c r="AR125" s="3"/>
      <c r="AS125" s="3"/>
      <c r="AT125" s="3"/>
      <c r="AU125" s="3"/>
      <c r="AV125" s="3"/>
      <c r="AW125" s="3"/>
      <c r="AX125" s="3"/>
      <c r="AY125" s="3"/>
      <c r="AZ125" s="3"/>
    </row>
    <row r="126" spans="1:52" s="2" customFormat="1" ht="66" customHeight="1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1"/>
      <c r="P126" s="81"/>
      <c r="Q126" s="81"/>
      <c r="R126" s="81"/>
      <c r="S126" s="81"/>
      <c r="T126" s="81"/>
      <c r="U126" s="82"/>
      <c r="V126" s="82"/>
      <c r="W126" s="82"/>
      <c r="X126" s="39"/>
      <c r="Y126" s="39"/>
      <c r="Z126" s="39"/>
      <c r="AA126" s="39"/>
      <c r="AB126" s="40" t="s">
        <v>105</v>
      </c>
      <c r="AC126" s="9" t="s">
        <v>7</v>
      </c>
      <c r="AD126" s="8">
        <v>100</v>
      </c>
      <c r="AE126" s="90">
        <v>100</v>
      </c>
      <c r="AF126" s="90">
        <v>100</v>
      </c>
      <c r="AG126" s="90">
        <v>100</v>
      </c>
      <c r="AH126" s="90">
        <v>100</v>
      </c>
      <c r="AI126" s="8">
        <v>100</v>
      </c>
      <c r="AJ126" s="8">
        <v>100</v>
      </c>
      <c r="AK126" s="8">
        <v>100</v>
      </c>
      <c r="AL126" s="19">
        <v>2027</v>
      </c>
      <c r="AQ126" s="3"/>
      <c r="AR126" s="3"/>
      <c r="AS126" s="3"/>
      <c r="AT126" s="3"/>
      <c r="AU126" s="3"/>
      <c r="AV126" s="3"/>
      <c r="AW126" s="3"/>
      <c r="AX126" s="3"/>
      <c r="AY126" s="3"/>
      <c r="AZ126" s="3"/>
    </row>
    <row r="127" spans="1:52" ht="36" customHeight="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97"/>
      <c r="V127" s="97"/>
      <c r="W127" s="97"/>
      <c r="X127" s="97"/>
      <c r="Y127" s="97"/>
      <c r="Z127" s="97"/>
      <c r="AA127" s="97"/>
      <c r="AB127" s="40" t="s">
        <v>152</v>
      </c>
      <c r="AC127" s="9" t="s">
        <v>134</v>
      </c>
      <c r="AD127" s="8">
        <v>2</v>
      </c>
      <c r="AE127" s="90">
        <v>1</v>
      </c>
      <c r="AF127" s="90">
        <v>1</v>
      </c>
      <c r="AG127" s="90">
        <v>1</v>
      </c>
      <c r="AH127" s="90">
        <v>1</v>
      </c>
      <c r="AI127" s="8">
        <v>1</v>
      </c>
      <c r="AJ127" s="8">
        <v>2</v>
      </c>
      <c r="AK127" s="8">
        <v>9</v>
      </c>
      <c r="AL127" s="19">
        <v>2027</v>
      </c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</row>
    <row r="128" spans="1:52" x14ac:dyDescent="0.25">
      <c r="AL128" s="79" t="s">
        <v>104</v>
      </c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</row>
    <row r="129" spans="2:52" x14ac:dyDescent="0.25"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</row>
    <row r="130" spans="2:52" ht="18.75" x14ac:dyDescent="0.3"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  <c r="AA130" s="231"/>
      <c r="AB130" s="231"/>
      <c r="AC130" s="20"/>
      <c r="AD130" s="33"/>
      <c r="AE130" s="139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</row>
    <row r="131" spans="2:52" ht="18.75" x14ac:dyDescent="0.3"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0"/>
      <c r="AD131" s="33"/>
      <c r="AE131" s="139"/>
      <c r="AG131" s="163"/>
      <c r="AH131" s="164"/>
      <c r="AI131" s="130"/>
      <c r="AJ131" s="130"/>
      <c r="AK131" s="10"/>
      <c r="AL131" s="10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</row>
    <row r="132" spans="2:52" ht="15.75" x14ac:dyDescent="0.25">
      <c r="U132" s="10"/>
      <c r="V132" s="10"/>
      <c r="W132" s="10"/>
      <c r="X132" s="10"/>
      <c r="Y132" s="10"/>
      <c r="Z132" s="10"/>
      <c r="AA132" s="10"/>
      <c r="AB132" s="13"/>
      <c r="AC132" s="20"/>
      <c r="AD132" s="33"/>
      <c r="AE132" s="139"/>
      <c r="AG132" s="165"/>
      <c r="AH132" s="164"/>
      <c r="AI132" s="130"/>
      <c r="AJ132" s="130"/>
      <c r="AK132" s="10"/>
      <c r="AL132" s="10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</row>
    <row r="133" spans="2:52" ht="15.75" x14ac:dyDescent="0.25">
      <c r="U133" s="10"/>
      <c r="V133" s="10"/>
      <c r="W133" s="10"/>
      <c r="X133" s="10"/>
      <c r="Y133" s="10"/>
      <c r="Z133" s="10"/>
      <c r="AA133" s="10"/>
      <c r="AB133" s="13"/>
      <c r="AC133" s="20"/>
      <c r="AD133" s="33"/>
      <c r="AE133" s="139"/>
      <c r="AG133" s="165"/>
      <c r="AH133" s="164"/>
      <c r="AI133" s="130"/>
      <c r="AJ133" s="130"/>
      <c r="AK133" s="10"/>
      <c r="AL133" s="10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</row>
    <row r="134" spans="2:52" ht="15.75" x14ac:dyDescent="0.25">
      <c r="U134" s="10"/>
      <c r="V134" s="10"/>
      <c r="W134" s="10"/>
      <c r="X134" s="10"/>
      <c r="Y134" s="10"/>
      <c r="Z134" s="10"/>
      <c r="AA134" s="10"/>
      <c r="AB134" s="13"/>
      <c r="AC134" s="20"/>
      <c r="AD134" s="33"/>
      <c r="AE134" s="139"/>
      <c r="AG134" s="165"/>
      <c r="AH134" s="164"/>
      <c r="AI134" s="130"/>
      <c r="AJ134" s="130"/>
      <c r="AK134" s="10"/>
      <c r="AL134" s="10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</row>
    <row r="135" spans="2:52" ht="15.75" x14ac:dyDescent="0.25">
      <c r="U135" s="10"/>
      <c r="V135" s="10"/>
      <c r="W135" s="10"/>
      <c r="X135" s="10"/>
      <c r="Y135" s="10"/>
      <c r="Z135" s="10"/>
      <c r="AA135" s="10"/>
      <c r="AB135" s="13"/>
      <c r="AC135" s="20"/>
      <c r="AD135" s="33"/>
      <c r="AE135" s="139"/>
      <c r="AG135" s="165"/>
      <c r="AH135" s="164"/>
      <c r="AI135" s="130"/>
      <c r="AJ135" s="130"/>
      <c r="AK135" s="10"/>
      <c r="AL135" s="10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</row>
    <row r="136" spans="2:52" ht="15.75" x14ac:dyDescent="0.25">
      <c r="B136" s="110" t="s">
        <v>129</v>
      </c>
      <c r="C136" s="110"/>
      <c r="D136" s="110"/>
      <c r="E136" s="110"/>
      <c r="F136" s="110"/>
      <c r="U136" s="10"/>
      <c r="V136" s="10"/>
      <c r="W136" s="10"/>
      <c r="X136" s="10"/>
      <c r="Y136" s="10"/>
      <c r="Z136" s="10"/>
      <c r="AA136" s="10"/>
      <c r="AB136" s="13"/>
      <c r="AC136" s="20"/>
      <c r="AD136" s="33"/>
      <c r="AE136" s="139"/>
      <c r="AF136" s="139"/>
      <c r="AG136" s="139"/>
      <c r="AH136" s="164"/>
      <c r="AI136" s="130"/>
      <c r="AJ136" s="130"/>
      <c r="AK136" s="10"/>
      <c r="AL136" s="10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</row>
    <row r="137" spans="2:52" ht="15.75" x14ac:dyDescent="0.25">
      <c r="B137" s="110" t="s">
        <v>135</v>
      </c>
      <c r="C137" s="110"/>
      <c r="D137" s="110"/>
      <c r="E137" s="110"/>
      <c r="F137" s="110"/>
      <c r="U137" s="10"/>
      <c r="V137" s="10"/>
      <c r="W137" s="10"/>
      <c r="X137" s="10"/>
      <c r="Y137" s="10"/>
      <c r="Z137" s="10"/>
      <c r="AA137" s="10"/>
      <c r="AB137" s="13"/>
      <c r="AC137" s="20"/>
      <c r="AD137" s="33"/>
      <c r="AE137" s="139"/>
      <c r="AF137" s="139"/>
      <c r="AG137" s="139"/>
      <c r="AH137" s="164"/>
      <c r="AI137" s="130"/>
      <c r="AJ137" s="130"/>
      <c r="AK137" s="10"/>
      <c r="AL137" s="10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</row>
    <row r="138" spans="2:52" x14ac:dyDescent="0.25"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</row>
    <row r="139" spans="2:52" x14ac:dyDescent="0.25"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</row>
    <row r="140" spans="2:52" x14ac:dyDescent="0.25"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</row>
    <row r="141" spans="2:52" x14ac:dyDescent="0.25"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</row>
    <row r="142" spans="2:52" x14ac:dyDescent="0.25"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</row>
    <row r="143" spans="2:52" x14ac:dyDescent="0.25"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</row>
    <row r="144" spans="2:52" x14ac:dyDescent="0.25"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</row>
    <row r="145" spans="43:52" x14ac:dyDescent="0.25"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</row>
    <row r="146" spans="43:52" x14ac:dyDescent="0.25"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</row>
    <row r="147" spans="43:52" x14ac:dyDescent="0.25"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</row>
    <row r="148" spans="43:52" x14ac:dyDescent="0.25"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</row>
    <row r="149" spans="43:52" x14ac:dyDescent="0.25"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</row>
    <row r="150" spans="43:52" x14ac:dyDescent="0.25"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</row>
    <row r="151" spans="43:52" x14ac:dyDescent="0.25"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</row>
    <row r="152" spans="43:52" x14ac:dyDescent="0.25"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</row>
    <row r="153" spans="43:52" x14ac:dyDescent="0.25"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</row>
    <row r="154" spans="43:52" x14ac:dyDescent="0.25"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</row>
    <row r="155" spans="43:52" x14ac:dyDescent="0.25"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</row>
    <row r="156" spans="43:52" x14ac:dyDescent="0.25"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</row>
    <row r="157" spans="43:52" x14ac:dyDescent="0.25"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</row>
    <row r="158" spans="43:52" x14ac:dyDescent="0.25"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</row>
    <row r="159" spans="43:52" x14ac:dyDescent="0.25"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</row>
    <row r="160" spans="43:52" x14ac:dyDescent="0.25"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</row>
    <row r="161" spans="4:52" x14ac:dyDescent="0.25"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</row>
    <row r="175" spans="4:52" ht="15.75" x14ac:dyDescent="0.25">
      <c r="D175" s="221" t="s">
        <v>180</v>
      </c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</row>
    <row r="176" spans="4:52" ht="34.5" customHeight="1" x14ac:dyDescent="0.25">
      <c r="D176" s="222" t="s">
        <v>181</v>
      </c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167"/>
    </row>
    <row r="177" spans="4:4" ht="15.75" x14ac:dyDescent="0.25">
      <c r="D177" s="166"/>
    </row>
  </sheetData>
  <mergeCells count="22">
    <mergeCell ref="D14:AC14"/>
    <mergeCell ref="A26:C26"/>
    <mergeCell ref="D26:E26"/>
    <mergeCell ref="F26:G26"/>
    <mergeCell ref="H26:N26"/>
    <mergeCell ref="Y26:AA26"/>
    <mergeCell ref="AD25:AJ25"/>
    <mergeCell ref="D175:AE175"/>
    <mergeCell ref="D176:AD176"/>
    <mergeCell ref="AT24:AU24"/>
    <mergeCell ref="A10:AL10"/>
    <mergeCell ref="A11:AL11"/>
    <mergeCell ref="A12:AL12"/>
    <mergeCell ref="AK25:AL25"/>
    <mergeCell ref="A18:P18"/>
    <mergeCell ref="A25:AA25"/>
    <mergeCell ref="AB25:AB26"/>
    <mergeCell ref="AC25:AC26"/>
    <mergeCell ref="B130:AB130"/>
    <mergeCell ref="B131:AB131"/>
    <mergeCell ref="A17:P17"/>
    <mergeCell ref="B13:AK13"/>
  </mergeCells>
  <pageMargins left="0.78740157480314965" right="0.39370078740157483" top="0.27559055118110237" bottom="0.31496062992125984" header="0.19685039370078741" footer="0.19685039370078741"/>
  <pageSetup paperSize="9" scale="56" fitToHeight="0" orientation="landscape" verticalDpi="18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5"/>
  <sheetViews>
    <sheetView workbookViewId="0">
      <selection activeCell="A8" sqref="A8:B8"/>
    </sheetView>
  </sheetViews>
  <sheetFormatPr defaultRowHeight="15" x14ac:dyDescent="0.25"/>
  <sheetData>
    <row r="6" spans="1:16" x14ac:dyDescent="0.25">
      <c r="A6" s="245" t="s">
        <v>161</v>
      </c>
      <c r="B6" s="246"/>
      <c r="C6" s="249" t="s">
        <v>162</v>
      </c>
      <c r="D6" s="249" t="s">
        <v>163</v>
      </c>
      <c r="E6" s="251" t="s">
        <v>164</v>
      </c>
      <c r="F6" s="252"/>
      <c r="G6" s="252"/>
      <c r="H6" s="252"/>
      <c r="I6" s="253" t="s">
        <v>165</v>
      </c>
      <c r="J6" s="253"/>
      <c r="K6" s="253"/>
      <c r="L6" s="253"/>
      <c r="M6" s="244" t="s">
        <v>166</v>
      </c>
      <c r="N6" s="244"/>
      <c r="O6" s="244"/>
      <c r="P6" s="244"/>
    </row>
    <row r="7" spans="1:16" ht="331.5" x14ac:dyDescent="0.25">
      <c r="A7" s="247"/>
      <c r="B7" s="248"/>
      <c r="C7" s="250"/>
      <c r="D7" s="250"/>
      <c r="E7" s="140" t="s">
        <v>167</v>
      </c>
      <c r="F7" s="140" t="s">
        <v>168</v>
      </c>
      <c r="G7" s="140" t="s">
        <v>169</v>
      </c>
      <c r="H7" s="141"/>
      <c r="I7" s="141" t="s">
        <v>170</v>
      </c>
      <c r="J7" s="141"/>
      <c r="K7" s="141" t="s">
        <v>171</v>
      </c>
      <c r="L7" s="141" t="s">
        <v>172</v>
      </c>
      <c r="M7" s="142" t="s">
        <v>173</v>
      </c>
      <c r="N7" s="141" t="s">
        <v>174</v>
      </c>
      <c r="O7" s="141" t="s">
        <v>175</v>
      </c>
      <c r="P7" s="141" t="s">
        <v>176</v>
      </c>
    </row>
    <row r="8" spans="1:16" ht="285" customHeight="1" x14ac:dyDescent="0.25">
      <c r="A8" s="242"/>
      <c r="B8" s="243"/>
      <c r="C8" s="143" t="s">
        <v>178</v>
      </c>
      <c r="D8" s="143">
        <v>1</v>
      </c>
      <c r="E8" s="144">
        <v>5300000</v>
      </c>
      <c r="F8" s="145">
        <v>5500000</v>
      </c>
      <c r="G8" s="145">
        <v>5700000</v>
      </c>
      <c r="H8" s="146"/>
      <c r="I8" s="145">
        <f>AVERAGE(E8:H8)</f>
        <v>5500000</v>
      </c>
      <c r="J8" s="145"/>
      <c r="K8" s="146">
        <f>STDEVA(E8,F8,G8:H8)</f>
        <v>200000</v>
      </c>
      <c r="L8" s="146">
        <f>K8/I8*100</f>
        <v>3.6363636363636362</v>
      </c>
      <c r="M8" s="146"/>
      <c r="N8" s="146"/>
      <c r="O8" s="235">
        <f>I8</f>
        <v>5500000</v>
      </c>
      <c r="P8" s="237">
        <f>D8*O8</f>
        <v>5500000</v>
      </c>
    </row>
    <row r="9" spans="1:16" x14ac:dyDescent="0.25">
      <c r="A9" s="239" t="s">
        <v>179</v>
      </c>
      <c r="B9" s="239"/>
      <c r="C9" s="239"/>
      <c r="D9" s="239"/>
      <c r="E9" s="147">
        <f>E8</f>
        <v>5300000</v>
      </c>
      <c r="F9" s="147">
        <f>F8</f>
        <v>5500000</v>
      </c>
      <c r="G9" s="240">
        <f>G8</f>
        <v>5700000</v>
      </c>
      <c r="H9" s="240"/>
      <c r="I9" s="241">
        <f>AVERAGE(E9:H9)</f>
        <v>5500000</v>
      </c>
      <c r="J9" s="241"/>
      <c r="K9" s="148">
        <f>STDEVA(E9:H9)</f>
        <v>200000</v>
      </c>
      <c r="L9" s="148">
        <f>K9/I9*100</f>
        <v>3.6363636363636362</v>
      </c>
      <c r="M9" s="149"/>
      <c r="N9" s="149"/>
      <c r="O9" s="236"/>
      <c r="P9" s="238"/>
    </row>
    <row r="15" spans="1:16" x14ac:dyDescent="0.25">
      <c r="C15" t="s">
        <v>177</v>
      </c>
    </row>
  </sheetData>
  <mergeCells count="12">
    <mergeCell ref="M6:P6"/>
    <mergeCell ref="A6:B7"/>
    <mergeCell ref="C6:C7"/>
    <mergeCell ref="D6:D7"/>
    <mergeCell ref="E6:H6"/>
    <mergeCell ref="I6:L6"/>
    <mergeCell ref="O8:O9"/>
    <mergeCell ref="P8:P9"/>
    <mergeCell ref="A9:D9"/>
    <mergeCell ref="G9:H9"/>
    <mergeCell ref="I9:J9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Лист1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2024-11-20T08:54:56Z</dcterms:modified>
</cp:coreProperties>
</file>